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405" tabRatio="797" firstSheet="4" activeTab="7"/>
  </bookViews>
  <sheets>
    <sheet name="第100章（信息采集与发布设备）" sheetId="1" r:id="rId1"/>
    <sheet name="第600章（信息采集与发布设备）" sheetId="2" r:id="rId2"/>
    <sheet name="设备清单（信息采集与发布设备）" sheetId="3" r:id="rId3"/>
    <sheet name="第100章（非现执法设备）" sheetId="4" r:id="rId4"/>
    <sheet name="第200章（非现执法设备）" sheetId="5" r:id="rId5"/>
    <sheet name="第300章（非现执法设备）" sheetId="6" r:id="rId6"/>
    <sheet name="第600章（非现执法设备）" sheetId="7" r:id="rId7"/>
    <sheet name="设备清单（非现执法设备）" sheetId="8" r:id="rId8"/>
    <sheet name="汇总表" sheetId="9" r:id="rId9"/>
  </sheets>
  <definedNames>
    <definedName name="_xlnm.Print_Titles" localSheetId="4">'第200章（非现执法设备）'!$1:$4</definedName>
    <definedName name="_xlnm.Print_Titles" localSheetId="5">'第300章（非现执法设备）'!$1:$4</definedName>
    <definedName name="_xlnm.Print_Titles" localSheetId="6">'第600章（非现执法设备）'!$1:$4</definedName>
    <definedName name="_xlnm.Print_Titles" localSheetId="1">'第600章（信息采集与发布设备）'!$1:$4</definedName>
  </definedNames>
  <calcPr fullCalcOnLoad="1"/>
</workbook>
</file>

<file path=xl/sharedStrings.xml><?xml version="1.0" encoding="utf-8"?>
<sst xmlns="http://schemas.openxmlformats.org/spreadsheetml/2006/main" count="497" uniqueCount="241">
  <si>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</si>
  <si>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</si>
  <si>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</si>
  <si>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</si>
  <si>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</si>
  <si>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</si>
  <si>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</si>
  <si>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</si>
  <si>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</si>
  <si>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</si>
  <si>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</si>
  <si>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</si>
  <si>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</si>
  <si>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</si>
  <si>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</si>
  <si>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</si>
  <si>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</si>
  <si>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</si>
  <si>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</si>
  <si>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</si>
  <si>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</si>
  <si>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</si>
  <si>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</si>
  <si>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</si>
  <si>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</si>
  <si>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</si>
  <si>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</si>
  <si>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</si>
  <si>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</si>
  <si>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</si>
  <si>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</si>
  <si>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投标价（8+12=13）</t>
  </si>
  <si>
    <t>102</t>
  </si>
  <si>
    <t>工程管理</t>
  </si>
  <si>
    <t>竣工文件</t>
  </si>
  <si>
    <t>103</t>
  </si>
  <si>
    <t>临时工程与设施</t>
  </si>
  <si>
    <t>104</t>
  </si>
  <si>
    <r>
      <t>103-</t>
    </r>
    <r>
      <rPr>
        <sz val="11.5"/>
        <color indexed="8"/>
        <rFont val="宋体"/>
        <family val="0"/>
      </rPr>
      <t>6</t>
    </r>
  </si>
  <si>
    <t>交通导改</t>
  </si>
  <si>
    <t>货币单位：人民币元</t>
  </si>
  <si>
    <t>安全设施及预埋管线</t>
  </si>
  <si>
    <t>第100章至第700章清单合计</t>
  </si>
  <si>
    <t>已包含在清单合计中材料、工程设备、专业工程暂估价合计</t>
  </si>
  <si>
    <t>已包含在清单合计中的安全生产费（投标控制价的1.5%）</t>
  </si>
  <si>
    <t>清单合计减去材料、工程设备、专业工程暂估价、安全生产费合计(8-9-10=11)（评标价）</t>
  </si>
  <si>
    <r>
      <t>清单     第6</t>
    </r>
    <r>
      <rPr>
        <b/>
        <sz val="16"/>
        <rFont val="宋体"/>
        <family val="0"/>
      </rPr>
      <t>00章  安全设施及预埋管线</t>
    </r>
  </si>
  <si>
    <t>清单     第100章  总则</t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</si>
  <si>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</si>
  <si>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t>-a</t>
  </si>
  <si>
    <t>-b</t>
  </si>
  <si>
    <t>-c</t>
  </si>
  <si>
    <t>-d</t>
  </si>
  <si>
    <t>套</t>
  </si>
  <si>
    <t>-e</t>
  </si>
  <si>
    <t>-f</t>
  </si>
  <si>
    <t>-g</t>
  </si>
  <si>
    <t>-h</t>
  </si>
  <si>
    <t>项</t>
  </si>
  <si>
    <t>m</t>
  </si>
  <si>
    <t>座</t>
  </si>
  <si>
    <r>
      <t>6</t>
    </r>
    <r>
      <rPr>
        <sz val="11.5"/>
        <color indexed="8"/>
        <rFont val="宋体"/>
        <family val="0"/>
      </rPr>
      <t>09-1</t>
    </r>
  </si>
  <si>
    <t>设备采购及安装</t>
  </si>
  <si>
    <t>-i</t>
  </si>
  <si>
    <t>总额</t>
  </si>
  <si>
    <r>
      <t>2019年房山</t>
    </r>
    <r>
      <rPr>
        <sz val="11.5"/>
        <rFont val="宋体"/>
        <family val="0"/>
      </rPr>
      <t>区非现场执法轴载监控设备建设工程</t>
    </r>
  </si>
  <si>
    <t>路网系统</t>
  </si>
  <si>
    <t>周张路非现场执法设备点位 K31+790（两车道）（双方向）</t>
  </si>
  <si>
    <r>
      <t>-a</t>
    </r>
    <r>
      <rPr>
        <sz val="11.5"/>
        <color indexed="8"/>
        <rFont val="宋体"/>
        <family val="0"/>
      </rPr>
      <t>-1</t>
    </r>
  </si>
  <si>
    <t>非现场执法动态轴载设备（两车道）采购及安装</t>
  </si>
  <si>
    <r>
      <t>-a</t>
    </r>
    <r>
      <rPr>
        <sz val="11.5"/>
        <color indexed="8"/>
        <rFont val="宋体"/>
        <family val="0"/>
      </rPr>
      <t>-2</t>
    </r>
  </si>
  <si>
    <t>可变情报板设备采购及安装</t>
  </si>
  <si>
    <t>可变情报板悬臂及基础</t>
  </si>
  <si>
    <t>接地工程</t>
  </si>
  <si>
    <t>处</t>
  </si>
  <si>
    <t>接线手孔井</t>
  </si>
  <si>
    <t xml:space="preserve">单柱单板面 1100mm×2600mm </t>
  </si>
  <si>
    <t>单柱单板面 1100mm×1850mm</t>
  </si>
  <si>
    <t>单柱单板面 D800mm</t>
  </si>
  <si>
    <t>附着单板面 700mm×950mm</t>
  </si>
  <si>
    <t>电缆、线缆敷设</t>
  </si>
  <si>
    <t>供电设施建设费</t>
  </si>
  <si>
    <t xml:space="preserve">立柱下部反光贴膜 </t>
  </si>
  <si>
    <t>-j</t>
  </si>
  <si>
    <t>-k</t>
  </si>
  <si>
    <t>网络接入费（公网、专网）</t>
  </si>
  <si>
    <t>-l</t>
  </si>
  <si>
    <t>试运行期网络通讯费（3个月，公网、专网）</t>
  </si>
  <si>
    <t>-m</t>
  </si>
  <si>
    <t>试运行期电费（3个月）</t>
  </si>
  <si>
    <t>-n</t>
  </si>
  <si>
    <t>-o</t>
  </si>
  <si>
    <t>系统调试费</t>
  </si>
  <si>
    <r>
      <t>6</t>
    </r>
    <r>
      <rPr>
        <sz val="11.5"/>
        <color indexed="8"/>
        <rFont val="宋体"/>
        <family val="0"/>
      </rPr>
      <t>09-3</t>
    </r>
  </si>
  <si>
    <r>
      <t>6</t>
    </r>
    <r>
      <rPr>
        <sz val="11.5"/>
        <color indexed="8"/>
        <rFont val="宋体"/>
        <family val="0"/>
      </rPr>
      <t>09-4</t>
    </r>
  </si>
  <si>
    <r>
      <t>6</t>
    </r>
    <r>
      <rPr>
        <sz val="11.5"/>
        <color indexed="8"/>
        <rFont val="宋体"/>
        <family val="0"/>
      </rPr>
      <t>09-5</t>
    </r>
  </si>
  <si>
    <r>
      <t>6</t>
    </r>
    <r>
      <rPr>
        <sz val="11.5"/>
        <color indexed="8"/>
        <rFont val="宋体"/>
        <family val="0"/>
      </rPr>
      <t>09-6</t>
    </r>
  </si>
  <si>
    <t>G107京深路非现场执法设备点位K31+900</t>
  </si>
  <si>
    <t>轴载检测提示交通标志（单柱单板面，1100mm×1850mm）</t>
  </si>
  <si>
    <t>黄良路非现场执法设备点位 K11+000</t>
  </si>
  <si>
    <t>岳琉路非现场执法设备点位 K13+100</t>
  </si>
  <si>
    <t>兴阳线非现场执法设备点位 K402+100（两车道）（双方向）</t>
  </si>
  <si>
    <r>
      <t>6</t>
    </r>
    <r>
      <rPr>
        <sz val="11.5"/>
        <color indexed="8"/>
        <rFont val="宋体"/>
        <family val="0"/>
      </rPr>
      <t>09-</t>
    </r>
    <r>
      <rPr>
        <sz val="11.5"/>
        <color indexed="8"/>
        <rFont val="宋体"/>
        <family val="0"/>
      </rPr>
      <t>2</t>
    </r>
  </si>
  <si>
    <t>合计（元）</t>
  </si>
  <si>
    <t>非现执法设备</t>
  </si>
  <si>
    <t>信息采集与发布设备</t>
  </si>
  <si>
    <t>工程名称：2019年房山区公路路网交通信息采集与发布设施建设工程、
         2019年房山区非现场执法轴载监控设备建设工程</t>
  </si>
  <si>
    <t>2019年房山区公路路网交通信息采集与发布设施建设工程</t>
  </si>
  <si>
    <t>交通量采集设备</t>
  </si>
  <si>
    <r>
      <t>6</t>
    </r>
    <r>
      <rPr>
        <sz val="11.5"/>
        <color indexed="8"/>
        <rFont val="宋体"/>
        <family val="0"/>
      </rPr>
      <t>09-2</t>
    </r>
  </si>
  <si>
    <t>套</t>
  </si>
  <si>
    <t>光纤收发器</t>
  </si>
  <si>
    <t>整车首次计量检定</t>
  </si>
  <si>
    <t>室外机柜基础</t>
  </si>
  <si>
    <t>-i-1</t>
  </si>
  <si>
    <t>-i-2</t>
  </si>
  <si>
    <t>-i-3</t>
  </si>
  <si>
    <t>-i-4</t>
  </si>
  <si>
    <t>-i-5</t>
  </si>
  <si>
    <t>清单     第200章  路基</t>
  </si>
  <si>
    <t>202</t>
  </si>
  <si>
    <t>场地清理</t>
  </si>
  <si>
    <t>202-2</t>
  </si>
  <si>
    <t>挖除旧路面</t>
  </si>
  <si>
    <t>-a</t>
  </si>
  <si>
    <t>挖除二灰碎石</t>
  </si>
  <si>
    <t>m3</t>
  </si>
  <si>
    <t>202-5</t>
  </si>
  <si>
    <t>铣刨旧路面</t>
  </si>
  <si>
    <t>铣刨旧路面层</t>
  </si>
  <si>
    <r>
      <t>m</t>
    </r>
    <r>
      <rPr>
        <sz val="11.5"/>
        <color indexed="8"/>
        <rFont val="宋体"/>
        <family val="0"/>
      </rPr>
      <t>3</t>
    </r>
  </si>
  <si>
    <r>
      <t>2</t>
    </r>
    <r>
      <rPr>
        <sz val="11.5"/>
        <color indexed="8"/>
        <rFont val="宋体"/>
        <family val="0"/>
      </rPr>
      <t>02-6</t>
    </r>
  </si>
  <si>
    <t>路面沥青混合料旧料回收</t>
  </si>
  <si>
    <t>使用8年以上</t>
  </si>
  <si>
    <t>t</t>
  </si>
  <si>
    <t>清单  第200章 合计   人民币</t>
  </si>
  <si>
    <t>清单     第300章  路面</t>
  </si>
  <si>
    <t>308</t>
  </si>
  <si>
    <t>透层和黏层</t>
  </si>
  <si>
    <t>308-1</t>
  </si>
  <si>
    <t>透层</t>
  </si>
  <si>
    <t>改性乳化沥青透层</t>
  </si>
  <si>
    <t>m2</t>
  </si>
  <si>
    <t>308-2</t>
  </si>
  <si>
    <t>黏层</t>
  </si>
  <si>
    <t>改性乳化沥青粘层</t>
  </si>
  <si>
    <t>309</t>
  </si>
  <si>
    <t>热拌沥青混合料面层</t>
  </si>
  <si>
    <t>309-1</t>
  </si>
  <si>
    <t>细粒式沥青混凝土</t>
  </si>
  <si>
    <t>-b</t>
  </si>
  <si>
    <t>-c</t>
  </si>
  <si>
    <r>
      <t xml:space="preserve">沥青砂 </t>
    </r>
    <r>
      <rPr>
        <sz val="11.5"/>
        <color indexed="8"/>
        <rFont val="宋体"/>
        <family val="0"/>
      </rPr>
      <t>1cm</t>
    </r>
  </si>
  <si>
    <t>309-2</t>
  </si>
  <si>
    <t>中粒式沥青混凝土</t>
  </si>
  <si>
    <r>
      <t>309-</t>
    </r>
    <r>
      <rPr>
        <sz val="11.5"/>
        <color indexed="8"/>
        <rFont val="宋体"/>
        <family val="0"/>
      </rPr>
      <t>3</t>
    </r>
  </si>
  <si>
    <t>粗粒式沥青混凝土</t>
  </si>
  <si>
    <r>
      <t>m</t>
    </r>
    <r>
      <rPr>
        <sz val="11.5"/>
        <color indexed="8"/>
        <rFont val="宋体"/>
        <family val="0"/>
      </rPr>
      <t>3</t>
    </r>
  </si>
  <si>
    <t>310</t>
  </si>
  <si>
    <t>沥青表面处治与封层</t>
  </si>
  <si>
    <t>310-2</t>
  </si>
  <si>
    <t>封层</t>
  </si>
  <si>
    <t>下封层 1cm</t>
  </si>
  <si>
    <t>312</t>
  </si>
  <si>
    <t>水泥混凝土面板</t>
  </si>
  <si>
    <t>312-1</t>
  </si>
  <si>
    <t>C40混凝土 30cm</t>
  </si>
  <si>
    <t>312-2</t>
  </si>
  <si>
    <t>钢筋</t>
  </si>
  <si>
    <t>kg</t>
  </si>
  <si>
    <t>313</t>
  </si>
  <si>
    <t>路肩培土、中央分隔带回填土、土路肩加固及路缘石</t>
  </si>
  <si>
    <t>313-5</t>
  </si>
  <si>
    <t>混凝土预制块路缘石</t>
  </si>
  <si>
    <t>m</t>
  </si>
  <si>
    <t>清单  第300章 合计   人民币</t>
  </si>
  <si>
    <r>
      <t>3</t>
    </r>
    <r>
      <rPr>
        <sz val="11.5"/>
        <color indexed="8"/>
        <rFont val="宋体"/>
        <family val="0"/>
      </rPr>
      <t>13-1</t>
    </r>
  </si>
  <si>
    <t>路肩培土</t>
  </si>
  <si>
    <t>碎石土掺4%水泥修复路肩</t>
  </si>
  <si>
    <t>m3</t>
  </si>
  <si>
    <t>路肩边部培土</t>
  </si>
  <si>
    <t>更换路缘石（新建）</t>
  </si>
  <si>
    <t>更换路缘石（利旧）</t>
  </si>
  <si>
    <t>道路交通标志</t>
  </si>
  <si>
    <r>
      <t>6</t>
    </r>
    <r>
      <rPr>
        <sz val="11.5"/>
        <color indexed="8"/>
        <rFont val="宋体"/>
        <family val="0"/>
      </rPr>
      <t>04-14</t>
    </r>
  </si>
  <si>
    <t>示警桩</t>
  </si>
  <si>
    <t>根</t>
  </si>
  <si>
    <t>道路交通标线</t>
  </si>
  <si>
    <r>
      <t>6</t>
    </r>
    <r>
      <rPr>
        <sz val="11.5"/>
        <color indexed="8"/>
        <rFont val="宋体"/>
        <family val="0"/>
      </rPr>
      <t>05-10</t>
    </r>
  </si>
  <si>
    <t>双组份高亮标线</t>
  </si>
  <si>
    <r>
      <t>m</t>
    </r>
    <r>
      <rPr>
        <sz val="11.5"/>
        <color indexed="8"/>
        <rFont val="宋体"/>
        <family val="0"/>
      </rPr>
      <t>2</t>
    </r>
  </si>
  <si>
    <t>导向箭头（长度6米）</t>
  </si>
  <si>
    <t>AC-10C 3cm</t>
  </si>
  <si>
    <t>AC-13C 4cm</t>
  </si>
  <si>
    <t>AC-16C 6cm</t>
  </si>
  <si>
    <t>AC-20C</t>
  </si>
  <si>
    <t xml:space="preserve">AC-25C </t>
  </si>
  <si>
    <t>307</t>
  </si>
  <si>
    <t>沥青稳定碎石基层（ATB）</t>
  </si>
  <si>
    <t>307-1</t>
  </si>
  <si>
    <t>ATB-30</t>
  </si>
  <si>
    <t>交通标志</t>
  </si>
  <si>
    <t>-k-1</t>
  </si>
  <si>
    <t>-k-2</t>
  </si>
  <si>
    <t>-k-3</t>
  </si>
  <si>
    <t>避雷设备</t>
  </si>
  <si>
    <r>
      <t>6</t>
    </r>
    <r>
      <rPr>
        <sz val="11.5"/>
        <color indexed="8"/>
        <rFont val="宋体"/>
        <family val="0"/>
      </rPr>
      <t>09-7</t>
    </r>
  </si>
  <si>
    <t>电缆 (ZR-YJV22-3×16mm2)（含电杆及钢绞线等）</t>
  </si>
  <si>
    <r>
      <t>609-</t>
    </r>
    <r>
      <rPr>
        <sz val="11.5"/>
        <color indexed="8"/>
        <rFont val="宋体"/>
        <family val="0"/>
      </rPr>
      <t>8</t>
    </r>
  </si>
  <si>
    <r>
      <t>609-</t>
    </r>
    <r>
      <rPr>
        <sz val="11.5"/>
        <color indexed="8"/>
        <rFont val="宋体"/>
        <family val="0"/>
      </rPr>
      <t>9</t>
    </r>
  </si>
  <si>
    <t>良常路辅线K7+020超声波交调设备</t>
  </si>
  <si>
    <t>千东路K2+280超声波交调设备</t>
  </si>
  <si>
    <r>
      <t>-b</t>
    </r>
    <r>
      <rPr>
        <sz val="11.5"/>
        <color indexed="8"/>
        <rFont val="宋体"/>
        <family val="0"/>
      </rPr>
      <t>-1</t>
    </r>
  </si>
  <si>
    <t>抓拍设备悬臂（门架）及基础</t>
  </si>
  <si>
    <r>
      <t>-b</t>
    </r>
    <r>
      <rPr>
        <sz val="11.5"/>
        <color indexed="8"/>
        <rFont val="宋体"/>
        <family val="0"/>
      </rPr>
      <t>-2</t>
    </r>
  </si>
  <si>
    <r>
      <t>抓拍设备门架及基础（限高6.5</t>
    </r>
    <r>
      <rPr>
        <sz val="11.5"/>
        <color indexed="8"/>
        <rFont val="宋体"/>
        <family val="0"/>
      </rPr>
      <t>m，宽</t>
    </r>
    <r>
      <rPr>
        <sz val="11.5"/>
        <color indexed="8"/>
        <rFont val="宋体"/>
        <family val="0"/>
      </rPr>
      <t>18m</t>
    </r>
    <r>
      <rPr>
        <sz val="11.5"/>
        <color indexed="8"/>
        <rFont val="宋体"/>
        <family val="0"/>
      </rPr>
      <t>）</t>
    </r>
  </si>
  <si>
    <t>前后抓拍设备悬臂及基础（立柱高6.8m，悬臂长11m）</t>
  </si>
  <si>
    <t>附着单板面 600mm×800mm</t>
  </si>
  <si>
    <t>光缆（单模GYTA53-8B1，含熔纤）（含电缆管沟及敷设钢管）</t>
  </si>
  <si>
    <t>电缆 YJV0.6/1KV-3×4mm2（含电缆管沟及敷设钢管）</t>
  </si>
  <si>
    <t>G108京昆路交调卡口设备点位K51+400（辛庄综合检查站西侧）</t>
  </si>
  <si>
    <t>G108复线交调卡口设备点位K0+200（辛庄综合检查站西侧）</t>
  </si>
  <si>
    <t>现有可变情报板通信安全升级改造（暂估价）</t>
  </si>
  <si>
    <t>单位</t>
  </si>
  <si>
    <t>数量</t>
  </si>
  <si>
    <t>备注</t>
  </si>
  <si>
    <t>套</t>
  </si>
  <si>
    <t>套</t>
  </si>
  <si>
    <t xml:space="preserve">  货币单位：人民币元</t>
  </si>
  <si>
    <t xml:space="preserve">  货币单位：人民币元</t>
  </si>
  <si>
    <t>单价</t>
  </si>
  <si>
    <t>序号</t>
  </si>
  <si>
    <t>投标人采购主要设备清单</t>
  </si>
  <si>
    <t>设备名称</t>
  </si>
  <si>
    <t>超声波微波组合交通流量调查设备（两车道）（含安装）</t>
  </si>
  <si>
    <t>非现场执法动态轴载设备（两车道）（含安装）</t>
  </si>
  <si>
    <t>交调卡口设备（两车道）（含安装）</t>
  </si>
  <si>
    <t>备注：投标人应按照本清单填报主要设备采购单价，设备采购单价填报时应满足投标人须知3.2.8项的相关规定和要求。</t>
  </si>
  <si>
    <t>工程名称：2018年房山区公路路网交通信息采集与发布设施建设工程</t>
  </si>
  <si>
    <t>按上项（11）金额的3%作为不可预见因素的暂定金额</t>
  </si>
  <si>
    <r>
      <t>可变情报板设备(1*1m)</t>
    </r>
    <r>
      <rPr>
        <sz val="11.5"/>
        <rFont val="宋体"/>
        <family val="0"/>
      </rPr>
      <t>（含安装）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</si>
</sst>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0000_ "/>
    <numFmt numFmtId="197" formatCode="0.000000_ "/>
    <numFmt numFmtId="198" formatCode="0.0000000_ "/>
    <numFmt numFmtId="199" formatCode="0.0000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color indexed="8"/>
      <name val="宋体"/>
      <family val="0"/>
    </font>
    <font>
      <b/>
      <sz val="11.5"/>
      <color indexed="8"/>
      <name val="宋体"/>
      <family val="0"/>
    </font>
    <font>
      <b/>
      <sz val="11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"/>
      <name val="Calibri"/>
      <family val="0"/>
    </font>
    <font>
      <sz val="11.5"/>
      <color indexed="8"/>
      <name val="Cambria"/>
      <family val="0"/>
    </font>
    <font>
      <sz val="10.5"/>
      <name val="Calibri"/>
      <family val="0"/>
    </font>
    <font>
      <sz val="10"/>
      <name val="Calibri"/>
      <family val="0"/>
    </font>
    <font>
      <sz val="11.5"/>
      <color theme="1"/>
      <name val="Calibri"/>
      <family val="0"/>
    </font>
    <font>
      <sz val="12"/>
      <color theme="1"/>
      <name val="宋体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5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173">
    <xf numFmtId="0" fontId="0" fillId="0" borderId="0" xfId="0" applyAlignment="1">
      <alignment vertical="center"/>
    </xf>
    <xf numFmtId="0" fontId="53" fillId="0" borderId="0" xfId="0" applyFont="1" applyAlignment="1">
      <alignment vertical="center" shrinkToFit="1"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78" fontId="54" fillId="0" borderId="10" xfId="0" applyNumberFormat="1" applyFont="1" applyBorder="1" applyAlignment="1">
      <alignment horizontal="center" vertical="center" shrinkToFit="1"/>
    </xf>
    <xf numFmtId="178" fontId="53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6" fontId="55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32" borderId="10" xfId="70" applyFont="1" applyFill="1" applyBorder="1" applyAlignment="1">
      <alignment horizontal="center" vertical="center" wrapText="1"/>
      <protection/>
    </xf>
    <xf numFmtId="0" fontId="10" fillId="32" borderId="10" xfId="70" applyFont="1" applyFill="1" applyBorder="1" applyAlignment="1">
      <alignment horizontal="left" vertical="center" wrapText="1"/>
      <protection/>
    </xf>
    <xf numFmtId="0" fontId="10" fillId="32" borderId="10" xfId="70" applyFont="1" applyFill="1" applyBorder="1" applyAlignment="1">
      <alignment horizontal="right" vertical="center" wrapText="1"/>
      <protection/>
    </xf>
    <xf numFmtId="177" fontId="10" fillId="32" borderId="10" xfId="7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69">
      <alignment vertical="center"/>
      <protection/>
    </xf>
    <xf numFmtId="0" fontId="0" fillId="0" borderId="0" xfId="69" applyFont="1">
      <alignment vertical="center"/>
      <protection/>
    </xf>
    <xf numFmtId="0" fontId="56" fillId="0" borderId="0" xfId="69" applyFont="1">
      <alignment vertical="center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178" fontId="10" fillId="32" borderId="10" xfId="65" applyNumberFormat="1" applyFont="1" applyFill="1" applyBorder="1" applyAlignment="1" applyProtection="1">
      <alignment horizontal="center" vertical="center" wrapText="1"/>
      <protection/>
    </xf>
    <xf numFmtId="178" fontId="57" fillId="32" borderId="10" xfId="60" applyNumberFormat="1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176" fontId="10" fillId="32" borderId="10" xfId="65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left" vertical="center" shrinkToFit="1"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176" fontId="10" fillId="0" borderId="10" xfId="65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53" fillId="0" borderId="0" xfId="0" applyNumberFormat="1" applyFont="1" applyAlignment="1">
      <alignment vertical="center"/>
    </xf>
    <xf numFmtId="0" fontId="10" fillId="0" borderId="10" xfId="70" applyFont="1" applyFill="1" applyBorder="1" applyAlignment="1">
      <alignment horizontal="center"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69" applyAlignment="1">
      <alignment horizontal="center" vertical="center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 vertical="center"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49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78" fontId="59" fillId="0" borderId="0" xfId="0" applyNumberFormat="1" applyFont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horizontal="right" vertical="center" shrinkToFit="1"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3" fillId="0" borderId="0" xfId="69" applyFont="1">
      <alignment vertical="center"/>
      <protection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176" fontId="60" fillId="0" borderId="10" xfId="0" applyNumberFormat="1" applyFont="1" applyBorder="1" applyAlignment="1" applyProtection="1">
      <alignment horizontal="center" vertical="center" shrinkToFit="1"/>
      <protection hidden="1"/>
    </xf>
    <xf numFmtId="0" fontId="61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53" fillId="0" borderId="0" xfId="66" applyFont="1">
      <alignment vertical="center"/>
      <protection/>
    </xf>
    <xf numFmtId="49" fontId="55" fillId="0" borderId="0" xfId="66" applyNumberFormat="1" applyFont="1">
      <alignment vertical="center"/>
      <protection/>
    </xf>
    <xf numFmtId="0" fontId="55" fillId="0" borderId="0" xfId="66" applyFont="1">
      <alignment vertical="center"/>
      <protection/>
    </xf>
    <xf numFmtId="49" fontId="54" fillId="0" borderId="10" xfId="66" applyNumberFormat="1" applyFont="1" applyBorder="1" applyAlignment="1">
      <alignment horizontal="center" vertical="center"/>
      <protection/>
    </xf>
    <xf numFmtId="0" fontId="54" fillId="0" borderId="10" xfId="66" applyFont="1" applyBorder="1" applyAlignment="1">
      <alignment horizontal="center" vertical="center"/>
      <protection/>
    </xf>
    <xf numFmtId="178" fontId="54" fillId="0" borderId="10" xfId="66" applyNumberFormat="1" applyFont="1" applyBorder="1" applyAlignment="1">
      <alignment horizontal="center" vertical="center" shrinkToFit="1"/>
      <protection/>
    </xf>
    <xf numFmtId="0" fontId="54" fillId="0" borderId="10" xfId="66" applyFont="1" applyBorder="1" applyAlignment="1">
      <alignment horizontal="center" vertical="center" shrinkToFit="1"/>
      <protection/>
    </xf>
    <xf numFmtId="176" fontId="55" fillId="0" borderId="10" xfId="66" applyNumberFormat="1" applyFont="1" applyBorder="1" applyAlignment="1" applyProtection="1">
      <alignment horizontal="center" vertical="center" shrinkToFit="1"/>
      <protection hidden="1"/>
    </xf>
    <xf numFmtId="49" fontId="53" fillId="0" borderId="0" xfId="66" applyNumberFormat="1" applyFont="1">
      <alignment vertical="center"/>
      <protection/>
    </xf>
    <xf numFmtId="178" fontId="53" fillId="0" borderId="0" xfId="66" applyNumberFormat="1" applyFont="1" applyAlignment="1">
      <alignment horizontal="center" vertical="center" shrinkToFit="1"/>
      <protection/>
    </xf>
    <xf numFmtId="0" fontId="53" fillId="0" borderId="0" xfId="66" applyFont="1" applyAlignment="1">
      <alignment vertical="center" shrinkToFi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0" xfId="0" applyFont="1" applyAlignment="1">
      <alignment vertical="center"/>
    </xf>
    <xf numFmtId="0" fontId="55" fillId="0" borderId="10" xfId="66" applyFont="1" applyBorder="1" applyAlignment="1">
      <alignment horizontal="left" vertical="center" shrinkToFi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0" fillId="0" borderId="0" xfId="67">
      <alignment vertical="center"/>
      <protection/>
    </xf>
    <xf numFmtId="0" fontId="0" fillId="0" borderId="0" xfId="67" applyAlignment="1">
      <alignment horizontal="center" vertical="center"/>
      <protection/>
    </xf>
    <xf numFmtId="0" fontId="15" fillId="0" borderId="10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>
      <alignment vertical="center"/>
      <protection/>
    </xf>
    <xf numFmtId="176" fontId="62" fillId="0" borderId="10" xfId="0" applyNumberFormat="1" applyFont="1" applyBorder="1" applyAlignment="1">
      <alignment horizontal="center" vertical="center" shrinkToFit="1"/>
    </xf>
    <xf numFmtId="176" fontId="62" fillId="32" borderId="11" xfId="57" applyNumberFormat="1" applyFont="1" applyFill="1" applyBorder="1" applyAlignment="1" applyProtection="1">
      <alignment horizontal="center" vertical="center" shrinkToFit="1"/>
      <protection/>
    </xf>
    <xf numFmtId="178" fontId="57" fillId="32" borderId="10" xfId="60" applyNumberFormat="1" applyFont="1" applyFill="1" applyBorder="1" applyAlignment="1" applyProtection="1">
      <alignment horizontal="center" vertical="center" shrinkToFit="1"/>
      <protection/>
    </xf>
    <xf numFmtId="178" fontId="57" fillId="0" borderId="10" xfId="60" applyNumberFormat="1" applyFont="1" applyFill="1" applyBorder="1" applyAlignment="1" applyProtection="1">
      <alignment horizontal="center" vertical="center" shrinkToFit="1"/>
      <protection/>
    </xf>
    <xf numFmtId="178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32" borderId="10" xfId="63" applyFont="1" applyFill="1" applyBorder="1" applyAlignment="1">
      <alignment horizontal="center" vertical="center" wrapText="1"/>
      <protection/>
    </xf>
    <xf numFmtId="0" fontId="10" fillId="32" borderId="10" xfId="63" applyFont="1" applyFill="1" applyBorder="1" applyAlignment="1">
      <alignment horizontal="left" vertical="center" wrapText="1"/>
      <protection/>
    </xf>
    <xf numFmtId="177" fontId="10" fillId="32" borderId="10" xfId="63" applyNumberFormat="1" applyFont="1" applyFill="1" applyBorder="1" applyAlignment="1">
      <alignment horizontal="right" vertical="center" wrapText="1"/>
      <protection/>
    </xf>
    <xf numFmtId="178" fontId="57" fillId="32" borderId="10" xfId="59" applyNumberFormat="1" applyFont="1" applyFill="1" applyBorder="1" applyAlignment="1">
      <alignment horizontal="center" vertical="center" shrinkToFit="1"/>
      <protection/>
    </xf>
    <xf numFmtId="178" fontId="10" fillId="32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178" fontId="10" fillId="0" borderId="10" xfId="63" applyNumberFormat="1" applyFont="1" applyBorder="1" applyAlignment="1">
      <alignment horizontal="center" vertical="center" wrapText="1"/>
      <protection/>
    </xf>
    <xf numFmtId="178" fontId="57" fillId="0" borderId="10" xfId="59" applyNumberFormat="1" applyFont="1" applyBorder="1" applyAlignment="1">
      <alignment horizontal="center" vertical="center" shrinkToFit="1"/>
      <protection/>
    </xf>
    <xf numFmtId="189" fontId="10" fillId="0" borderId="10" xfId="63" applyNumberFormat="1" applyFont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left" vertical="center" wrapText="1"/>
      <protection/>
    </xf>
    <xf numFmtId="177" fontId="10" fillId="32" borderId="10" xfId="64" applyNumberFormat="1" applyFont="1" applyFill="1" applyBorder="1" applyAlignment="1">
      <alignment horizontal="right" vertical="center" wrapText="1"/>
      <protection/>
    </xf>
    <xf numFmtId="178" fontId="57" fillId="32" borderId="10" xfId="60" applyNumberFormat="1" applyFont="1" applyFill="1" applyBorder="1" applyAlignment="1">
      <alignment horizontal="center" vertical="center" shrinkToFit="1"/>
      <protection/>
    </xf>
    <xf numFmtId="0" fontId="10" fillId="0" borderId="10" xfId="64" applyFont="1" applyBorder="1" applyAlignment="1">
      <alignment horizontal="center" vertical="center" wrapText="1"/>
      <protection/>
    </xf>
    <xf numFmtId="178" fontId="10" fillId="0" borderId="10" xfId="64" applyNumberFormat="1" applyFont="1" applyBorder="1" applyAlignment="1">
      <alignment horizontal="center" vertical="center" wrapText="1"/>
      <protection/>
    </xf>
    <xf numFmtId="178" fontId="10" fillId="32" borderId="10" xfId="64" applyNumberFormat="1" applyFont="1" applyFill="1" applyBorder="1" applyAlignment="1">
      <alignment horizontal="center" vertical="center" wrapText="1"/>
      <protection/>
    </xf>
    <xf numFmtId="178" fontId="10" fillId="0" borderId="10" xfId="64" applyNumberFormat="1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 quotePrefix="1">
      <alignment horizontal="center" vertical="center" wrapText="1"/>
      <protection/>
    </xf>
    <xf numFmtId="178" fontId="57" fillId="0" borderId="10" xfId="60" applyNumberFormat="1" applyFont="1" applyBorder="1" applyAlignment="1">
      <alignment horizontal="center" vertical="center" shrinkToFit="1"/>
      <protection/>
    </xf>
    <xf numFmtId="0" fontId="10" fillId="0" borderId="10" xfId="64" applyFont="1" applyBorder="1" applyAlignment="1">
      <alignment horizontal="left" vertical="center" wrapText="1"/>
      <protection/>
    </xf>
    <xf numFmtId="0" fontId="16" fillId="0" borderId="10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16" fillId="0" borderId="12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176" fontId="9" fillId="0" borderId="10" xfId="69" applyNumberFormat="1" applyFont="1" applyBorder="1" applyAlignment="1">
      <alignment horizontal="center" vertical="center" shrinkToFit="1"/>
      <protection/>
    </xf>
    <xf numFmtId="176" fontId="9" fillId="0" borderId="10" xfId="69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63" fillId="0" borderId="10" xfId="0" applyNumberFormat="1" applyFont="1" applyBorder="1" applyAlignment="1" applyProtection="1">
      <alignment horizontal="center" vertical="center" shrinkToFit="1"/>
      <protection hidden="1"/>
    </xf>
    <xf numFmtId="0" fontId="64" fillId="0" borderId="0" xfId="0" applyFont="1" applyAlignment="1">
      <alignment horizontal="center" vertical="center"/>
    </xf>
    <xf numFmtId="178" fontId="64" fillId="0" borderId="0" xfId="0" applyNumberFormat="1" applyFont="1" applyAlignment="1">
      <alignment horizontal="center" vertical="center"/>
    </xf>
    <xf numFmtId="0" fontId="55" fillId="0" borderId="0" xfId="0" applyFont="1" applyAlignment="1" applyProtection="1">
      <alignment horizontal="left" vertical="center" wrapText="1"/>
      <protection hidden="1"/>
    </xf>
    <xf numFmtId="178" fontId="55" fillId="0" borderId="0" xfId="0" applyNumberFormat="1" applyFont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center" vertical="center" shrinkToFit="1"/>
    </xf>
    <xf numFmtId="0" fontId="64" fillId="0" borderId="10" xfId="0" applyFont="1" applyBorder="1" applyAlignment="1">
      <alignment horizontal="center" vertical="center"/>
    </xf>
    <xf numFmtId="178" fontId="6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14" fillId="0" borderId="0" xfId="67" applyFont="1" applyAlignment="1">
      <alignment horizontal="center" vertical="center"/>
      <protection/>
    </xf>
    <xf numFmtId="0" fontId="55" fillId="0" borderId="13" xfId="0" applyFont="1" applyBorder="1" applyAlignment="1" applyProtection="1">
      <alignment horizontal="left" vertical="center" wrapText="1"/>
      <protection hidden="1"/>
    </xf>
    <xf numFmtId="0" fontId="12" fillId="0" borderId="14" xfId="67" applyFont="1" applyBorder="1" applyAlignment="1">
      <alignment horizontal="left" vertical="center" wrapText="1"/>
      <protection/>
    </xf>
    <xf numFmtId="0" fontId="12" fillId="0" borderId="15" xfId="67" applyFont="1" applyBorder="1" applyAlignment="1">
      <alignment horizontal="left" vertical="center" wrapText="1"/>
      <protection/>
    </xf>
    <xf numFmtId="0" fontId="12" fillId="0" borderId="16" xfId="67" applyFont="1" applyBorder="1" applyAlignment="1">
      <alignment horizontal="left" vertical="center" wrapText="1"/>
      <protection/>
    </xf>
    <xf numFmtId="0" fontId="55" fillId="0" borderId="13" xfId="0" applyFont="1" applyBorder="1" applyAlignment="1">
      <alignment horizontal="right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center" vertical="center" shrinkToFit="1"/>
    </xf>
    <xf numFmtId="0" fontId="64" fillId="0" borderId="0" xfId="66" applyFont="1" applyAlignment="1">
      <alignment horizontal="center" vertical="center"/>
      <protection/>
    </xf>
    <xf numFmtId="178" fontId="64" fillId="0" borderId="0" xfId="66" applyNumberFormat="1" applyFont="1" applyAlignment="1">
      <alignment horizontal="center" vertical="center"/>
      <protection/>
    </xf>
    <xf numFmtId="0" fontId="55" fillId="0" borderId="0" xfId="66" applyFont="1" applyAlignment="1" applyProtection="1">
      <alignment horizontal="left" vertical="center" wrapText="1"/>
      <protection hidden="1"/>
    </xf>
    <xf numFmtId="178" fontId="55" fillId="0" borderId="0" xfId="66" applyNumberFormat="1" applyFont="1" applyAlignment="1" applyProtection="1">
      <alignment horizontal="center" vertical="center" wrapText="1"/>
      <protection hidden="1"/>
    </xf>
    <xf numFmtId="0" fontId="55" fillId="0" borderId="0" xfId="66" applyFont="1" applyAlignment="1">
      <alignment horizontal="center" vertical="center" shrinkToFit="1"/>
      <protection/>
    </xf>
    <xf numFmtId="0" fontId="64" fillId="0" borderId="10" xfId="66" applyFont="1" applyBorder="1" applyAlignment="1">
      <alignment horizontal="center" vertical="center"/>
      <protection/>
    </xf>
    <xf numFmtId="178" fontId="64" fillId="0" borderId="10" xfId="66" applyNumberFormat="1" applyFont="1" applyBorder="1" applyAlignment="1">
      <alignment horizontal="center" vertical="center"/>
      <protection/>
    </xf>
    <xf numFmtId="0" fontId="55" fillId="0" borderId="10" xfId="66" applyFont="1" applyBorder="1" applyAlignment="1">
      <alignment horizontal="right" vertical="center"/>
      <protection/>
    </xf>
    <xf numFmtId="176" fontId="63" fillId="0" borderId="10" xfId="66" applyNumberFormat="1" applyFont="1" applyBorder="1" applyAlignment="1" applyProtection="1">
      <alignment horizontal="center" vertical="center" shrinkToFit="1"/>
      <protection hidden="1"/>
    </xf>
    <xf numFmtId="0" fontId="56" fillId="0" borderId="13" xfId="69" applyFont="1" applyBorder="1" applyAlignment="1">
      <alignment horizontal="left" vertical="center" wrapText="1"/>
      <protection/>
    </xf>
    <xf numFmtId="0" fontId="9" fillId="0" borderId="14" xfId="69" applyFont="1" applyBorder="1" applyAlignment="1">
      <alignment horizontal="center"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11" fillId="0" borderId="0" xfId="69" applyFont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56" fillId="0" borderId="13" xfId="69" applyFont="1" applyBorder="1" applyAlignment="1">
      <alignment horizontal="right" vertical="center" wrapText="1"/>
      <protection/>
    </xf>
    <xf numFmtId="178" fontId="9" fillId="0" borderId="10" xfId="67" applyNumberFormat="1" applyFont="1" applyBorder="1" applyAlignment="1">
      <alignment horizontal="center" vertical="center" shrinkToFit="1"/>
      <protection/>
    </xf>
    <xf numFmtId="0" fontId="9" fillId="0" borderId="10" xfId="67" applyFont="1" applyBorder="1" applyAlignment="1">
      <alignment horizontal="center" vertical="center" wrapText="1"/>
      <protection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4" xfId="68"/>
    <cellStyle name="常规 4 2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132" t="s">
        <v>0</v>
      </c>
      <c r="B1" s="132"/>
      <c r="C1" s="132"/>
      <c r="D1" s="132"/>
      <c r="E1" s="132"/>
      <c r="F1" s="132"/>
    </row>
    <row r="2" spans="1:6" ht="33" customHeight="1">
      <c r="A2" s="19" t="s">
        <v>1</v>
      </c>
      <c r="B2" s="133" t="s">
        <v>107</v>
      </c>
      <c r="C2" s="134"/>
      <c r="D2" s="134"/>
      <c r="E2" s="135" t="s">
        <v>2</v>
      </c>
      <c r="F2" s="135"/>
    </row>
    <row r="3" spans="1:6" s="9" customFormat="1" ht="30" customHeight="1">
      <c r="A3" s="136" t="s">
        <v>47</v>
      </c>
      <c r="B3" s="137"/>
      <c r="C3" s="137"/>
      <c r="D3" s="137"/>
      <c r="E3" s="137"/>
      <c r="F3" s="137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43" customFormat="1" ht="30" customHeight="1">
      <c r="A5" s="15" t="s">
        <v>32</v>
      </c>
      <c r="B5" s="16" t="s">
        <v>33</v>
      </c>
      <c r="C5" s="15" t="s">
        <v>20</v>
      </c>
      <c r="D5" s="17" t="s">
        <v>20</v>
      </c>
      <c r="E5" s="99"/>
      <c r="F5" s="82"/>
    </row>
    <row r="6" spans="1:6" s="43" customFormat="1" ht="30" customHeight="1">
      <c r="A6" s="15" t="s">
        <v>9</v>
      </c>
      <c r="B6" s="16" t="s">
        <v>34</v>
      </c>
      <c r="C6" s="15" t="s">
        <v>10</v>
      </c>
      <c r="D6" s="15">
        <v>1</v>
      </c>
      <c r="E6" s="100"/>
      <c r="F6" s="82">
        <f aca="true" t="shared" si="0" ref="F6:F12">ROUND(D6*E6,0)</f>
        <v>0</v>
      </c>
    </row>
    <row r="7" spans="1:6" s="43" customFormat="1" ht="30" customHeight="1">
      <c r="A7" s="15" t="s">
        <v>11</v>
      </c>
      <c r="B7" s="16" t="s">
        <v>12</v>
      </c>
      <c r="C7" s="15" t="s">
        <v>10</v>
      </c>
      <c r="D7" s="15">
        <v>1</v>
      </c>
      <c r="E7" s="100"/>
      <c r="F7" s="82">
        <f t="shared" si="0"/>
        <v>0</v>
      </c>
    </row>
    <row r="8" spans="1:6" s="43" customFormat="1" ht="30" customHeight="1">
      <c r="A8" s="15" t="s">
        <v>13</v>
      </c>
      <c r="B8" s="16" t="s">
        <v>14</v>
      </c>
      <c r="C8" s="15" t="s">
        <v>10</v>
      </c>
      <c r="D8" s="15">
        <v>1</v>
      </c>
      <c r="E8" s="100">
        <f>ROUND(1198616*1.5%,0)</f>
        <v>17979</v>
      </c>
      <c r="F8" s="82">
        <f>ROUND(D8*E8,0)</f>
        <v>17979</v>
      </c>
    </row>
    <row r="9" spans="1:6" s="43" customFormat="1" ht="30" customHeight="1">
      <c r="A9" s="15" t="s">
        <v>35</v>
      </c>
      <c r="B9" s="16" t="s">
        <v>36</v>
      </c>
      <c r="C9" s="15" t="s">
        <v>20</v>
      </c>
      <c r="D9" s="18"/>
      <c r="E9" s="100"/>
      <c r="F9" s="82"/>
    </row>
    <row r="10" spans="1:6" s="43" customFormat="1" ht="30" customHeight="1">
      <c r="A10" s="35" t="s">
        <v>38</v>
      </c>
      <c r="B10" s="36" t="s">
        <v>39</v>
      </c>
      <c r="C10" s="15" t="s">
        <v>64</v>
      </c>
      <c r="D10" s="15">
        <v>1</v>
      </c>
      <c r="E10" s="100"/>
      <c r="F10" s="82">
        <f>ROUND(D10*E10,0)</f>
        <v>0</v>
      </c>
    </row>
    <row r="11" spans="1:6" s="43" customFormat="1" ht="30" customHeight="1">
      <c r="A11" s="15" t="s">
        <v>37</v>
      </c>
      <c r="B11" s="16" t="s">
        <v>16</v>
      </c>
      <c r="C11" s="15" t="s">
        <v>20</v>
      </c>
      <c r="D11" s="18"/>
      <c r="E11" s="100"/>
      <c r="F11" s="82"/>
    </row>
    <row r="12" spans="1:6" s="43" customFormat="1" ht="30" customHeight="1">
      <c r="A12" s="15" t="s">
        <v>15</v>
      </c>
      <c r="B12" s="16" t="s">
        <v>16</v>
      </c>
      <c r="C12" s="15" t="s">
        <v>10</v>
      </c>
      <c r="D12" s="15">
        <v>1</v>
      </c>
      <c r="E12" s="100"/>
      <c r="F12" s="82">
        <f t="shared" si="0"/>
        <v>0</v>
      </c>
    </row>
    <row r="13" spans="1:12" ht="30" customHeight="1">
      <c r="A13" s="138" t="s">
        <v>17</v>
      </c>
      <c r="B13" s="138"/>
      <c r="C13" s="138"/>
      <c r="D13" s="139">
        <f>ROUND(SUM(F5:F12),0)</f>
        <v>17979</v>
      </c>
      <c r="E13" s="139"/>
      <c r="F13" s="13" t="s">
        <v>18</v>
      </c>
      <c r="G13" s="11"/>
      <c r="H13" s="11"/>
      <c r="I13" s="11"/>
      <c r="J13" s="11"/>
      <c r="K13" s="11"/>
      <c r="L13" s="11"/>
    </row>
    <row r="14" ht="32.25" customHeight="1"/>
    <row r="15" ht="25.5" customHeight="1">
      <c r="A15" s="12"/>
    </row>
  </sheetData>
  <sheetProtection password="8F79" sheet="1"/>
  <protectedRanges>
    <protectedRange sqref="E6:E7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125" style="2" customWidth="1"/>
    <col min="2" max="2" width="28.25390625" style="43" customWidth="1"/>
    <col min="3" max="3" width="8.625" style="43" customWidth="1"/>
    <col min="4" max="4" width="11.625" style="7" customWidth="1"/>
    <col min="5" max="6" width="11.625" style="1" customWidth="1"/>
    <col min="7" max="7" width="19.625" style="43" customWidth="1"/>
    <col min="8" max="16384" width="9.00390625" style="43" customWidth="1"/>
  </cols>
  <sheetData>
    <row r="1" spans="1:6" ht="33" customHeight="1">
      <c r="A1" s="140" t="s">
        <v>0</v>
      </c>
      <c r="B1" s="140"/>
      <c r="C1" s="140"/>
      <c r="D1" s="141"/>
      <c r="E1" s="140"/>
      <c r="F1" s="140"/>
    </row>
    <row r="2" spans="1:6" s="21" customFormat="1" ht="33" customHeight="1">
      <c r="A2" s="20" t="s">
        <v>1</v>
      </c>
      <c r="B2" s="142" t="str">
        <f>'第100章（信息采集与发布设备）'!B2:D2</f>
        <v>2019年房山区公路路网交通信息采集与发布设施建设工程</v>
      </c>
      <c r="C2" s="142"/>
      <c r="D2" s="143"/>
      <c r="E2" s="144" t="s">
        <v>228</v>
      </c>
      <c r="F2" s="144"/>
    </row>
    <row r="3" spans="1:6" ht="30" customHeight="1">
      <c r="A3" s="145" t="s">
        <v>46</v>
      </c>
      <c r="B3" s="145"/>
      <c r="C3" s="145"/>
      <c r="D3" s="146"/>
      <c r="E3" s="145"/>
      <c r="F3" s="145"/>
    </row>
    <row r="4" spans="1:6" ht="30" customHeight="1">
      <c r="A4" s="3" t="s">
        <v>3</v>
      </c>
      <c r="B4" s="4" t="s">
        <v>4</v>
      </c>
      <c r="C4" s="4" t="s">
        <v>5</v>
      </c>
      <c r="D4" s="6" t="s">
        <v>6</v>
      </c>
      <c r="E4" s="5" t="s">
        <v>7</v>
      </c>
      <c r="F4" s="5" t="s">
        <v>8</v>
      </c>
    </row>
    <row r="5" spans="1:7" ht="30" customHeight="1">
      <c r="A5" s="28">
        <v>609</v>
      </c>
      <c r="B5" s="50" t="s">
        <v>66</v>
      </c>
      <c r="C5" s="25"/>
      <c r="D5" s="26"/>
      <c r="E5" s="27"/>
      <c r="F5" s="14"/>
      <c r="G5" s="37"/>
    </row>
    <row r="6" spans="1:7" ht="30" customHeight="1">
      <c r="A6" s="44" t="s">
        <v>61</v>
      </c>
      <c r="B6" s="56" t="s">
        <v>108</v>
      </c>
      <c r="C6" s="25"/>
      <c r="D6" s="29"/>
      <c r="E6" s="27"/>
      <c r="F6" s="14"/>
      <c r="G6" s="37"/>
    </row>
    <row r="7" spans="1:7" ht="30" customHeight="1">
      <c r="A7" s="57" t="s">
        <v>49</v>
      </c>
      <c r="B7" s="55" t="s">
        <v>210</v>
      </c>
      <c r="C7" s="58" t="s">
        <v>74</v>
      </c>
      <c r="D7" s="29">
        <v>1</v>
      </c>
      <c r="E7" s="101"/>
      <c r="F7" s="33">
        <f>ROUND(D7*E7,0)</f>
        <v>0</v>
      </c>
      <c r="G7" s="34"/>
    </row>
    <row r="8" spans="1:7" ht="30" customHeight="1">
      <c r="A8" s="57" t="s">
        <v>50</v>
      </c>
      <c r="B8" s="55" t="s">
        <v>211</v>
      </c>
      <c r="C8" s="58" t="s">
        <v>74</v>
      </c>
      <c r="D8" s="29">
        <v>1</v>
      </c>
      <c r="E8" s="101"/>
      <c r="F8" s="33">
        <f>ROUND(D8*E8,0)</f>
        <v>0</v>
      </c>
      <c r="G8" s="34"/>
    </row>
    <row r="9" spans="1:7" ht="30" customHeight="1">
      <c r="A9" s="57" t="s">
        <v>109</v>
      </c>
      <c r="B9" s="55" t="s">
        <v>222</v>
      </c>
      <c r="C9" s="58" t="s">
        <v>110</v>
      </c>
      <c r="D9" s="32">
        <v>53</v>
      </c>
      <c r="E9" s="27">
        <v>15000</v>
      </c>
      <c r="F9" s="33">
        <f>ROUND(D9*E9,0)</f>
        <v>795000</v>
      </c>
      <c r="G9" s="34"/>
    </row>
    <row r="10" spans="1:6" ht="30" customHeight="1">
      <c r="A10" s="147" t="s">
        <v>48</v>
      </c>
      <c r="B10" s="147"/>
      <c r="C10" s="147"/>
      <c r="D10" s="139">
        <f>ROUND(SUM(F5:F9),0)</f>
        <v>795000</v>
      </c>
      <c r="E10" s="139"/>
      <c r="F10" s="30" t="s">
        <v>18</v>
      </c>
    </row>
    <row r="12" spans="1:6" s="46" customFormat="1" ht="19.5" customHeight="1">
      <c r="A12" s="45"/>
      <c r="D12" s="47"/>
      <c r="E12" s="48"/>
      <c r="F12" s="49"/>
    </row>
    <row r="13" spans="1:6" s="46" customFormat="1" ht="19.5" customHeight="1">
      <c r="A13" s="45"/>
      <c r="D13" s="47"/>
      <c r="E13" s="48"/>
      <c r="F13" s="48"/>
    </row>
    <row r="14" spans="1:6" s="46" customFormat="1" ht="19.5" customHeight="1">
      <c r="A14" s="45"/>
      <c r="D14" s="47"/>
      <c r="E14" s="48"/>
      <c r="F14" s="48"/>
    </row>
    <row r="15" spans="1:6" s="46" customFormat="1" ht="19.5" customHeight="1">
      <c r="A15" s="45"/>
      <c r="D15" s="47"/>
      <c r="E15" s="48"/>
      <c r="F15" s="48"/>
    </row>
    <row r="16" spans="1:6" s="46" customFormat="1" ht="19.5" customHeight="1">
      <c r="A16" s="45"/>
      <c r="D16" s="47"/>
      <c r="E16" s="48"/>
      <c r="F16" s="49"/>
    </row>
  </sheetData>
  <sheetProtection password="8F79" sheet="1"/>
  <protectedRanges>
    <protectedRange sqref="E7:E8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9.00390625" style="93" customWidth="1"/>
    <col min="2" max="2" width="30.125" style="93" customWidth="1"/>
    <col min="3" max="3" width="7.75390625" style="93" customWidth="1"/>
    <col min="4" max="4" width="8.75390625" style="93" customWidth="1"/>
    <col min="5" max="5" width="12.375" style="93" customWidth="1"/>
    <col min="6" max="6" width="11.625" style="93" customWidth="1"/>
    <col min="7" max="16384" width="9.00390625" style="93" customWidth="1"/>
  </cols>
  <sheetData>
    <row r="1" spans="1:6" ht="43.5" customHeight="1">
      <c r="A1" s="148" t="s">
        <v>232</v>
      </c>
      <c r="B1" s="148"/>
      <c r="C1" s="148"/>
      <c r="D1" s="148"/>
      <c r="E1" s="148"/>
      <c r="F1" s="148"/>
    </row>
    <row r="2" spans="1:6" s="21" customFormat="1" ht="33" customHeight="1">
      <c r="A2" s="20" t="s">
        <v>238</v>
      </c>
      <c r="B2" s="149" t="str">
        <f>'第100章（信息采集与发布设备）'!B2</f>
        <v>2019年房山区公路路网交通信息采集与发布设施建设工程</v>
      </c>
      <c r="C2" s="149"/>
      <c r="D2" s="149"/>
      <c r="E2" s="153" t="s">
        <v>229</v>
      </c>
      <c r="F2" s="153"/>
    </row>
    <row r="3" spans="1:6" s="94" customFormat="1" ht="45" customHeight="1">
      <c r="A3" s="95" t="s">
        <v>231</v>
      </c>
      <c r="B3" s="95" t="s">
        <v>233</v>
      </c>
      <c r="C3" s="95" t="s">
        <v>223</v>
      </c>
      <c r="D3" s="95" t="s">
        <v>224</v>
      </c>
      <c r="E3" s="95" t="s">
        <v>230</v>
      </c>
      <c r="F3" s="95" t="s">
        <v>225</v>
      </c>
    </row>
    <row r="4" spans="1:6" ht="45" customHeight="1">
      <c r="A4" s="96">
        <v>1</v>
      </c>
      <c r="B4" s="97" t="s">
        <v>234</v>
      </c>
      <c r="C4" s="96" t="s">
        <v>226</v>
      </c>
      <c r="D4" s="96">
        <v>2</v>
      </c>
      <c r="E4" s="171"/>
      <c r="F4" s="98"/>
    </row>
    <row r="5" spans="1:6" ht="45" customHeight="1">
      <c r="A5" s="150" t="s">
        <v>237</v>
      </c>
      <c r="B5" s="151"/>
      <c r="C5" s="151"/>
      <c r="D5" s="151"/>
      <c r="E5" s="151"/>
      <c r="F5" s="152"/>
    </row>
  </sheetData>
  <sheetProtection password="8F79" sheet="1"/>
  <protectedRanges>
    <protectedRange sqref="E4" name="区域1"/>
  </protectedRanges>
  <mergeCells count="4">
    <mergeCell ref="A1:F1"/>
    <mergeCell ref="B2:D2"/>
    <mergeCell ref="A5:F5"/>
    <mergeCell ref="E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132" t="s">
        <v>0</v>
      </c>
      <c r="B1" s="132"/>
      <c r="C1" s="132"/>
      <c r="D1" s="132"/>
      <c r="E1" s="132"/>
      <c r="F1" s="132"/>
    </row>
    <row r="2" spans="1:6" ht="33" customHeight="1">
      <c r="A2" s="19" t="s">
        <v>1</v>
      </c>
      <c r="B2" s="133" t="s">
        <v>65</v>
      </c>
      <c r="C2" s="134"/>
      <c r="D2" s="134"/>
      <c r="E2" s="135" t="s">
        <v>2</v>
      </c>
      <c r="F2" s="135"/>
    </row>
    <row r="3" spans="1:6" s="9" customFormat="1" ht="30" customHeight="1">
      <c r="A3" s="136" t="s">
        <v>47</v>
      </c>
      <c r="B3" s="137"/>
      <c r="C3" s="137"/>
      <c r="D3" s="137"/>
      <c r="E3" s="137"/>
      <c r="F3" s="137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0" customFormat="1" ht="30" customHeight="1">
      <c r="A5" s="15" t="s">
        <v>32</v>
      </c>
      <c r="B5" s="16" t="s">
        <v>33</v>
      </c>
      <c r="C5" s="15" t="s">
        <v>20</v>
      </c>
      <c r="D5" s="17" t="s">
        <v>20</v>
      </c>
      <c r="E5" s="99"/>
      <c r="F5" s="82"/>
    </row>
    <row r="6" spans="1:6" s="10" customFormat="1" ht="30" customHeight="1">
      <c r="A6" s="15" t="s">
        <v>9</v>
      </c>
      <c r="B6" s="16" t="s">
        <v>34</v>
      </c>
      <c r="C6" s="15" t="s">
        <v>10</v>
      </c>
      <c r="D6" s="15">
        <v>1</v>
      </c>
      <c r="E6" s="100"/>
      <c r="F6" s="82">
        <f aca="true" t="shared" si="0" ref="F6:F12">ROUND(D6*E6,0)</f>
        <v>0</v>
      </c>
    </row>
    <row r="7" spans="1:6" s="10" customFormat="1" ht="30" customHeight="1">
      <c r="A7" s="15" t="s">
        <v>11</v>
      </c>
      <c r="B7" s="16" t="s">
        <v>12</v>
      </c>
      <c r="C7" s="15" t="s">
        <v>10</v>
      </c>
      <c r="D7" s="15">
        <v>1</v>
      </c>
      <c r="E7" s="100"/>
      <c r="F7" s="82">
        <f t="shared" si="0"/>
        <v>0</v>
      </c>
    </row>
    <row r="8" spans="1:6" s="10" customFormat="1" ht="30" customHeight="1">
      <c r="A8" s="15" t="s">
        <v>13</v>
      </c>
      <c r="B8" s="16" t="s">
        <v>14</v>
      </c>
      <c r="C8" s="15" t="s">
        <v>10</v>
      </c>
      <c r="D8" s="15">
        <v>1</v>
      </c>
      <c r="E8" s="100">
        <f>ROUND(5859056*1.5%,0)</f>
        <v>87886</v>
      </c>
      <c r="F8" s="82">
        <f>ROUND(D8*E8,0)</f>
        <v>87886</v>
      </c>
    </row>
    <row r="9" spans="1:6" s="10" customFormat="1" ht="30" customHeight="1">
      <c r="A9" s="15" t="s">
        <v>35</v>
      </c>
      <c r="B9" s="16" t="s">
        <v>36</v>
      </c>
      <c r="C9" s="15" t="s">
        <v>20</v>
      </c>
      <c r="D9" s="18"/>
      <c r="E9" s="100"/>
      <c r="F9" s="82"/>
    </row>
    <row r="10" spans="1:6" s="10" customFormat="1" ht="30" customHeight="1">
      <c r="A10" s="35" t="s">
        <v>38</v>
      </c>
      <c r="B10" s="36" t="s">
        <v>39</v>
      </c>
      <c r="C10" s="15" t="s">
        <v>64</v>
      </c>
      <c r="D10" s="15">
        <v>1</v>
      </c>
      <c r="E10" s="100"/>
      <c r="F10" s="82">
        <f>ROUND(D10*E10,0)</f>
        <v>0</v>
      </c>
    </row>
    <row r="11" spans="1:6" s="10" customFormat="1" ht="30" customHeight="1">
      <c r="A11" s="15" t="s">
        <v>37</v>
      </c>
      <c r="B11" s="16" t="s">
        <v>16</v>
      </c>
      <c r="C11" s="15" t="s">
        <v>20</v>
      </c>
      <c r="D11" s="18"/>
      <c r="E11" s="100"/>
      <c r="F11" s="82"/>
    </row>
    <row r="12" spans="1:6" s="10" customFormat="1" ht="30" customHeight="1">
      <c r="A12" s="15" t="s">
        <v>15</v>
      </c>
      <c r="B12" s="16" t="s">
        <v>16</v>
      </c>
      <c r="C12" s="15" t="s">
        <v>10</v>
      </c>
      <c r="D12" s="15">
        <v>1</v>
      </c>
      <c r="E12" s="100"/>
      <c r="F12" s="82">
        <f t="shared" si="0"/>
        <v>0</v>
      </c>
    </row>
    <row r="13" spans="1:12" ht="30" customHeight="1">
      <c r="A13" s="138" t="s">
        <v>17</v>
      </c>
      <c r="B13" s="138"/>
      <c r="C13" s="138"/>
      <c r="D13" s="139">
        <f>ROUND(SUM(F5:F12),0)</f>
        <v>87886</v>
      </c>
      <c r="E13" s="139"/>
      <c r="F13" s="13" t="s">
        <v>18</v>
      </c>
      <c r="G13" s="11"/>
      <c r="H13" s="11"/>
      <c r="I13" s="11"/>
      <c r="J13" s="11"/>
      <c r="K13" s="11"/>
      <c r="L13" s="11"/>
    </row>
    <row r="14" ht="32.25" customHeight="1"/>
    <row r="15" ht="25.5" customHeight="1">
      <c r="A15" s="12"/>
    </row>
  </sheetData>
  <sheetProtection password="8F79" sheet="1"/>
  <protectedRanges>
    <protectedRange sqref="E6:E7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9.125" style="0" customWidth="1"/>
    <col min="2" max="2" width="27.75390625" style="66" customWidth="1"/>
    <col min="3" max="3" width="8.625" style="0" customWidth="1"/>
    <col min="4" max="4" width="11.625" style="7" customWidth="1"/>
    <col min="5" max="6" width="11.625" style="67" customWidth="1"/>
  </cols>
  <sheetData>
    <row r="1" spans="1:6" ht="33.75" customHeight="1">
      <c r="A1" s="132" t="s">
        <v>0</v>
      </c>
      <c r="B1" s="132"/>
      <c r="C1" s="132"/>
      <c r="D1" s="141"/>
      <c r="E1" s="132"/>
      <c r="F1" s="132"/>
    </row>
    <row r="2" spans="1:6" s="61" customFormat="1" ht="33.75" customHeight="1">
      <c r="A2" s="61" t="s">
        <v>1</v>
      </c>
      <c r="B2" s="154" t="str">
        <f>'第100章（非现执法设备）'!B2:D2</f>
        <v>2019年房山区非现场执法轴载监控设备建设工程</v>
      </c>
      <c r="C2" s="154"/>
      <c r="D2" s="143"/>
      <c r="E2" s="155" t="s">
        <v>19</v>
      </c>
      <c r="F2" s="155"/>
    </row>
    <row r="3" spans="1:6" ht="30" customHeight="1">
      <c r="A3" s="137" t="s">
        <v>119</v>
      </c>
      <c r="B3" s="137"/>
      <c r="C3" s="137"/>
      <c r="D3" s="146"/>
      <c r="E3" s="137"/>
      <c r="F3" s="137"/>
    </row>
    <row r="4" spans="1:6" ht="30" customHeight="1">
      <c r="A4" s="8" t="s">
        <v>3</v>
      </c>
      <c r="B4" s="8" t="s">
        <v>4</v>
      </c>
      <c r="C4" s="8" t="s">
        <v>5</v>
      </c>
      <c r="D4" s="6" t="s">
        <v>6</v>
      </c>
      <c r="E4" s="62" t="s">
        <v>7</v>
      </c>
      <c r="F4" s="62" t="s">
        <v>8</v>
      </c>
    </row>
    <row r="5" spans="1:6" s="64" customFormat="1" ht="30" customHeight="1">
      <c r="A5" s="105" t="s">
        <v>120</v>
      </c>
      <c r="B5" s="106" t="s">
        <v>121</v>
      </c>
      <c r="C5" s="105" t="s">
        <v>20</v>
      </c>
      <c r="D5" s="107"/>
      <c r="E5" s="108"/>
      <c r="F5" s="63"/>
    </row>
    <row r="6" spans="1:6" s="64" customFormat="1" ht="30" customHeight="1">
      <c r="A6" s="105" t="s">
        <v>122</v>
      </c>
      <c r="B6" s="106" t="s">
        <v>123</v>
      </c>
      <c r="C6" s="105" t="s">
        <v>20</v>
      </c>
      <c r="D6" s="107"/>
      <c r="E6" s="108"/>
      <c r="F6" s="63"/>
    </row>
    <row r="7" spans="1:6" s="64" customFormat="1" ht="30" customHeight="1">
      <c r="A7" s="105" t="s">
        <v>124</v>
      </c>
      <c r="B7" s="106" t="s">
        <v>125</v>
      </c>
      <c r="C7" s="105" t="s">
        <v>126</v>
      </c>
      <c r="D7" s="109">
        <f>2.7+4.32</f>
        <v>7.0200000000000005</v>
      </c>
      <c r="E7" s="108"/>
      <c r="F7" s="63">
        <f>ROUND(D7*E7,0)</f>
        <v>0</v>
      </c>
    </row>
    <row r="8" spans="1:6" s="64" customFormat="1" ht="30" customHeight="1">
      <c r="A8" s="105" t="s">
        <v>127</v>
      </c>
      <c r="B8" s="106" t="s">
        <v>128</v>
      </c>
      <c r="C8" s="105" t="s">
        <v>20</v>
      </c>
      <c r="D8" s="109"/>
      <c r="E8" s="108"/>
      <c r="F8" s="63"/>
    </row>
    <row r="9" spans="1:6" s="64" customFormat="1" ht="30" customHeight="1">
      <c r="A9" s="105" t="s">
        <v>124</v>
      </c>
      <c r="B9" s="106" t="s">
        <v>129</v>
      </c>
      <c r="C9" s="105" t="s">
        <v>130</v>
      </c>
      <c r="D9" s="109">
        <f>1404*0.12+216*0.03+1440*0.06+720*0.06</f>
        <v>304.55999999999995</v>
      </c>
      <c r="E9" s="108"/>
      <c r="F9" s="63">
        <f>ROUND(D9*E9,0)</f>
        <v>0</v>
      </c>
    </row>
    <row r="10" spans="1:6" s="64" customFormat="1" ht="30" customHeight="1">
      <c r="A10" s="110" t="s">
        <v>131</v>
      </c>
      <c r="B10" s="111" t="s">
        <v>132</v>
      </c>
      <c r="C10" s="110"/>
      <c r="D10" s="112"/>
      <c r="E10" s="113"/>
      <c r="F10" s="63"/>
    </row>
    <row r="11" spans="1:6" s="64" customFormat="1" ht="30" customHeight="1">
      <c r="A11" s="110" t="s">
        <v>124</v>
      </c>
      <c r="B11" s="111" t="s">
        <v>133</v>
      </c>
      <c r="C11" s="110" t="s">
        <v>134</v>
      </c>
      <c r="D11" s="114">
        <f>329.065+243.752</f>
        <v>572.817</v>
      </c>
      <c r="E11" s="113"/>
      <c r="F11" s="63">
        <f>ROUND(D11*E11,0)</f>
        <v>0</v>
      </c>
    </row>
    <row r="12" spans="1:6" ht="30" customHeight="1">
      <c r="A12" s="138" t="s">
        <v>135</v>
      </c>
      <c r="B12" s="138"/>
      <c r="C12" s="138"/>
      <c r="D12" s="139">
        <f>ROUND(SUM(F5:F11),0)</f>
        <v>0</v>
      </c>
      <c r="E12" s="139"/>
      <c r="F12" s="65" t="s">
        <v>18</v>
      </c>
    </row>
  </sheetData>
  <sheetProtection password="8F79" sheet="1"/>
  <protectedRanges>
    <protectedRange sqref="E7 E9 E11" name="区域1"/>
  </protectedRanges>
  <mergeCells count="6">
    <mergeCell ref="A1:F1"/>
    <mergeCell ref="B2:D2"/>
    <mergeCell ref="E2:F2"/>
    <mergeCell ref="A3:F3"/>
    <mergeCell ref="A12:C12"/>
    <mergeCell ref="D12:E12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9.125" style="76" customWidth="1"/>
    <col min="2" max="2" width="28.25390625" style="68" customWidth="1"/>
    <col min="3" max="3" width="8.625" style="68" customWidth="1"/>
    <col min="4" max="4" width="11.625" style="77" customWidth="1"/>
    <col min="5" max="6" width="11.625" style="78" customWidth="1"/>
    <col min="7" max="16384" width="9.00390625" style="68" customWidth="1"/>
  </cols>
  <sheetData>
    <row r="1" spans="1:6" ht="33" customHeight="1">
      <c r="A1" s="156" t="s">
        <v>0</v>
      </c>
      <c r="B1" s="156"/>
      <c r="C1" s="156"/>
      <c r="D1" s="157"/>
      <c r="E1" s="156"/>
      <c r="F1" s="156"/>
    </row>
    <row r="2" spans="1:6" s="70" customFormat="1" ht="33" customHeight="1">
      <c r="A2" s="69" t="s">
        <v>1</v>
      </c>
      <c r="B2" s="158" t="str">
        <f>'第100章（非现执法设备）'!B2:D2</f>
        <v>2019年房山区非现场执法轴载监控设备建设工程</v>
      </c>
      <c r="C2" s="158"/>
      <c r="D2" s="159"/>
      <c r="E2" s="160" t="s">
        <v>19</v>
      </c>
      <c r="F2" s="160"/>
    </row>
    <row r="3" spans="1:6" ht="30" customHeight="1">
      <c r="A3" s="161" t="s">
        <v>136</v>
      </c>
      <c r="B3" s="161"/>
      <c r="C3" s="161"/>
      <c r="D3" s="162"/>
      <c r="E3" s="161"/>
      <c r="F3" s="161"/>
    </row>
    <row r="4" spans="1:6" ht="30" customHeight="1">
      <c r="A4" s="71" t="s">
        <v>3</v>
      </c>
      <c r="B4" s="72" t="s">
        <v>4</v>
      </c>
      <c r="C4" s="72" t="s">
        <v>5</v>
      </c>
      <c r="D4" s="73" t="s">
        <v>6</v>
      </c>
      <c r="E4" s="74" t="s">
        <v>7</v>
      </c>
      <c r="F4" s="74" t="s">
        <v>8</v>
      </c>
    </row>
    <row r="5" spans="1:6" s="83" customFormat="1" ht="30" customHeight="1">
      <c r="A5" s="115" t="s">
        <v>197</v>
      </c>
      <c r="B5" s="116" t="s">
        <v>198</v>
      </c>
      <c r="C5" s="115" t="s">
        <v>20</v>
      </c>
      <c r="D5" s="117"/>
      <c r="E5" s="118"/>
      <c r="F5" s="82"/>
    </row>
    <row r="6" spans="1:6" s="83" customFormat="1" ht="30" customHeight="1">
      <c r="A6" s="115" t="s">
        <v>199</v>
      </c>
      <c r="B6" s="116" t="s">
        <v>198</v>
      </c>
      <c r="C6" s="115" t="s">
        <v>20</v>
      </c>
      <c r="D6" s="117"/>
      <c r="E6" s="118"/>
      <c r="F6" s="82"/>
    </row>
    <row r="7" spans="1:6" s="83" customFormat="1" ht="30" customHeight="1">
      <c r="A7" s="115" t="s">
        <v>124</v>
      </c>
      <c r="B7" s="116" t="s">
        <v>200</v>
      </c>
      <c r="C7" s="119" t="s">
        <v>126</v>
      </c>
      <c r="D7" s="120">
        <f>8.64+31.1</f>
        <v>39.74</v>
      </c>
      <c r="E7" s="118"/>
      <c r="F7" s="82">
        <f>ROUND(D7*E7,0)</f>
        <v>0</v>
      </c>
    </row>
    <row r="8" spans="1:6" ht="30" customHeight="1">
      <c r="A8" s="115" t="s">
        <v>137</v>
      </c>
      <c r="B8" s="116" t="s">
        <v>138</v>
      </c>
      <c r="C8" s="115" t="s">
        <v>20</v>
      </c>
      <c r="D8" s="121"/>
      <c r="E8" s="118"/>
      <c r="F8" s="75"/>
    </row>
    <row r="9" spans="1:6" ht="30" customHeight="1">
      <c r="A9" s="115" t="s">
        <v>139</v>
      </c>
      <c r="B9" s="116" t="s">
        <v>140</v>
      </c>
      <c r="C9" s="115" t="s">
        <v>20</v>
      </c>
      <c r="D9" s="121"/>
      <c r="E9" s="118"/>
      <c r="F9" s="75"/>
    </row>
    <row r="10" spans="1:6" ht="30" customHeight="1">
      <c r="A10" s="115" t="s">
        <v>124</v>
      </c>
      <c r="B10" s="116" t="s">
        <v>141</v>
      </c>
      <c r="C10" s="115" t="s">
        <v>142</v>
      </c>
      <c r="D10" s="122">
        <f>216+216</f>
        <v>432</v>
      </c>
      <c r="E10" s="118"/>
      <c r="F10" s="75">
        <f>ROUND(D10*E10,0)</f>
        <v>0</v>
      </c>
    </row>
    <row r="11" spans="1:6" ht="30" customHeight="1">
      <c r="A11" s="115" t="s">
        <v>143</v>
      </c>
      <c r="B11" s="116" t="s">
        <v>144</v>
      </c>
      <c r="C11" s="115" t="s">
        <v>20</v>
      </c>
      <c r="D11" s="121"/>
      <c r="E11" s="118"/>
      <c r="F11" s="75"/>
    </row>
    <row r="12" spans="1:6" ht="30" customHeight="1">
      <c r="A12" s="115" t="s">
        <v>124</v>
      </c>
      <c r="B12" s="116" t="s">
        <v>145</v>
      </c>
      <c r="C12" s="115" t="s">
        <v>142</v>
      </c>
      <c r="D12" s="121">
        <f>792+1344</f>
        <v>2136</v>
      </c>
      <c r="E12" s="118"/>
      <c r="F12" s="75">
        <f>ROUND(D12*E12,0)</f>
        <v>0</v>
      </c>
    </row>
    <row r="13" spans="1:6" ht="30" customHeight="1">
      <c r="A13" s="115" t="s">
        <v>146</v>
      </c>
      <c r="B13" s="116" t="s">
        <v>147</v>
      </c>
      <c r="C13" s="115" t="s">
        <v>20</v>
      </c>
      <c r="D13" s="121"/>
      <c r="E13" s="118"/>
      <c r="F13" s="75"/>
    </row>
    <row r="14" spans="1:6" ht="30" customHeight="1">
      <c r="A14" s="115" t="s">
        <v>148</v>
      </c>
      <c r="B14" s="116" t="s">
        <v>149</v>
      </c>
      <c r="C14" s="115" t="s">
        <v>20</v>
      </c>
      <c r="D14" s="121"/>
      <c r="E14" s="118"/>
      <c r="F14" s="75"/>
    </row>
    <row r="15" spans="1:6" ht="30" customHeight="1">
      <c r="A15" s="115" t="s">
        <v>124</v>
      </c>
      <c r="B15" s="116" t="s">
        <v>192</v>
      </c>
      <c r="C15" s="115" t="s">
        <v>142</v>
      </c>
      <c r="D15" s="121">
        <f>216</f>
        <v>216</v>
      </c>
      <c r="E15" s="118"/>
      <c r="F15" s="75">
        <f>ROUND(D15*E15,0)</f>
        <v>0</v>
      </c>
    </row>
    <row r="16" spans="1:6" ht="30" customHeight="1">
      <c r="A16" s="115" t="s">
        <v>150</v>
      </c>
      <c r="B16" s="116" t="s">
        <v>193</v>
      </c>
      <c r="C16" s="115" t="s">
        <v>142</v>
      </c>
      <c r="D16" s="121">
        <f>324+504</f>
        <v>828</v>
      </c>
      <c r="E16" s="118"/>
      <c r="F16" s="75">
        <f>ROUND(D16*E16,0)</f>
        <v>0</v>
      </c>
    </row>
    <row r="17" spans="1:6" ht="30" customHeight="1">
      <c r="A17" s="123" t="s">
        <v>151</v>
      </c>
      <c r="B17" s="116" t="s">
        <v>152</v>
      </c>
      <c r="C17" s="115" t="s">
        <v>142</v>
      </c>
      <c r="D17" s="120">
        <f>1080+1440</f>
        <v>2520</v>
      </c>
      <c r="E17" s="124"/>
      <c r="F17" s="75">
        <f>ROUND(D17*E17,0)</f>
        <v>0</v>
      </c>
    </row>
    <row r="18" spans="1:6" ht="30" customHeight="1">
      <c r="A18" s="115" t="s">
        <v>153</v>
      </c>
      <c r="B18" s="116" t="s">
        <v>154</v>
      </c>
      <c r="C18" s="115" t="s">
        <v>20</v>
      </c>
      <c r="D18" s="121"/>
      <c r="E18" s="118"/>
      <c r="F18" s="75"/>
    </row>
    <row r="19" spans="1:6" ht="30" customHeight="1">
      <c r="A19" s="115" t="s">
        <v>124</v>
      </c>
      <c r="B19" s="116" t="s">
        <v>194</v>
      </c>
      <c r="C19" s="115" t="s">
        <v>142</v>
      </c>
      <c r="D19" s="121">
        <f>252+408</f>
        <v>660</v>
      </c>
      <c r="E19" s="118"/>
      <c r="F19" s="75">
        <f>ROUND(D19*E19,0)</f>
        <v>0</v>
      </c>
    </row>
    <row r="20" spans="1:6" ht="30" customHeight="1">
      <c r="A20" s="115" t="s">
        <v>150</v>
      </c>
      <c r="B20" s="125" t="s">
        <v>195</v>
      </c>
      <c r="C20" s="115" t="s">
        <v>126</v>
      </c>
      <c r="D20" s="121">
        <f>5.4+12.12</f>
        <v>17.52</v>
      </c>
      <c r="E20" s="118"/>
      <c r="F20" s="75">
        <f>ROUND(D20*E20,0)</f>
        <v>0</v>
      </c>
    </row>
    <row r="21" spans="1:6" ht="30" customHeight="1">
      <c r="A21" s="115" t="s">
        <v>155</v>
      </c>
      <c r="B21" s="116" t="s">
        <v>156</v>
      </c>
      <c r="C21" s="115" t="s">
        <v>20</v>
      </c>
      <c r="D21" s="121"/>
      <c r="E21" s="118"/>
      <c r="F21" s="75"/>
    </row>
    <row r="22" spans="1:6" ht="30" customHeight="1">
      <c r="A22" s="115" t="s">
        <v>124</v>
      </c>
      <c r="B22" s="116" t="s">
        <v>196</v>
      </c>
      <c r="C22" s="115" t="s">
        <v>157</v>
      </c>
      <c r="D22" s="121">
        <v>6.48</v>
      </c>
      <c r="E22" s="118"/>
      <c r="F22" s="75">
        <f>ROUND(D22*E22,0)</f>
        <v>0</v>
      </c>
    </row>
    <row r="23" spans="1:6" ht="30" customHeight="1">
      <c r="A23" s="115" t="s">
        <v>158</v>
      </c>
      <c r="B23" s="116" t="s">
        <v>159</v>
      </c>
      <c r="C23" s="115" t="s">
        <v>20</v>
      </c>
      <c r="D23" s="121"/>
      <c r="E23" s="118"/>
      <c r="F23" s="75"/>
    </row>
    <row r="24" spans="1:6" ht="30" customHeight="1">
      <c r="A24" s="115" t="s">
        <v>160</v>
      </c>
      <c r="B24" s="116" t="s">
        <v>161</v>
      </c>
      <c r="C24" s="115" t="s">
        <v>20</v>
      </c>
      <c r="D24" s="121"/>
      <c r="E24" s="118"/>
      <c r="F24" s="75"/>
    </row>
    <row r="25" spans="1:6" ht="30" customHeight="1">
      <c r="A25" s="115" t="s">
        <v>124</v>
      </c>
      <c r="B25" s="116" t="s">
        <v>162</v>
      </c>
      <c r="C25" s="115" t="s">
        <v>142</v>
      </c>
      <c r="D25" s="122">
        <f>216+216</f>
        <v>432</v>
      </c>
      <c r="E25" s="118"/>
      <c r="F25" s="75">
        <f>ROUND(D25*E25,0)</f>
        <v>0</v>
      </c>
    </row>
    <row r="26" spans="1:6" ht="30" customHeight="1">
      <c r="A26" s="115" t="s">
        <v>163</v>
      </c>
      <c r="B26" s="116" t="s">
        <v>164</v>
      </c>
      <c r="C26" s="115" t="s">
        <v>20</v>
      </c>
      <c r="D26" s="121"/>
      <c r="E26" s="118"/>
      <c r="F26" s="75"/>
    </row>
    <row r="27" spans="1:6" ht="30" customHeight="1">
      <c r="A27" s="115" t="s">
        <v>165</v>
      </c>
      <c r="B27" s="116" t="s">
        <v>164</v>
      </c>
      <c r="C27" s="115" t="s">
        <v>20</v>
      </c>
      <c r="D27" s="121"/>
      <c r="E27" s="118"/>
      <c r="F27" s="75"/>
    </row>
    <row r="28" spans="1:6" ht="30" customHeight="1">
      <c r="A28" s="115" t="s">
        <v>124</v>
      </c>
      <c r="B28" s="116" t="s">
        <v>166</v>
      </c>
      <c r="C28" s="115" t="s">
        <v>126</v>
      </c>
      <c r="D28" s="121">
        <f>356.4+475.2</f>
        <v>831.5999999999999</v>
      </c>
      <c r="E28" s="118"/>
      <c r="F28" s="75">
        <f>ROUND(D28*E28,0)</f>
        <v>0</v>
      </c>
    </row>
    <row r="29" spans="1:6" ht="30" customHeight="1">
      <c r="A29" s="115" t="s">
        <v>167</v>
      </c>
      <c r="B29" s="116" t="s">
        <v>168</v>
      </c>
      <c r="C29" s="115" t="s">
        <v>20</v>
      </c>
      <c r="D29" s="121"/>
      <c r="E29" s="118"/>
      <c r="F29" s="75"/>
    </row>
    <row r="30" spans="1:6" ht="30" customHeight="1">
      <c r="A30" s="115" t="s">
        <v>124</v>
      </c>
      <c r="B30" s="116" t="s">
        <v>168</v>
      </c>
      <c r="C30" s="115" t="s">
        <v>169</v>
      </c>
      <c r="D30" s="120">
        <f>18215.84+26510.68</f>
        <v>44726.520000000004</v>
      </c>
      <c r="E30" s="124"/>
      <c r="F30" s="75">
        <f>ROUND(D30*E30,0)</f>
        <v>0</v>
      </c>
    </row>
    <row r="31" spans="1:6" ht="30" customHeight="1">
      <c r="A31" s="115" t="s">
        <v>170</v>
      </c>
      <c r="B31" s="116" t="s">
        <v>171</v>
      </c>
      <c r="C31" s="115" t="s">
        <v>20</v>
      </c>
      <c r="D31" s="121"/>
      <c r="E31" s="118"/>
      <c r="F31" s="75"/>
    </row>
    <row r="32" spans="1:6" ht="30" customHeight="1">
      <c r="A32" s="115" t="s">
        <v>176</v>
      </c>
      <c r="B32" s="116" t="s">
        <v>177</v>
      </c>
      <c r="C32" s="115"/>
      <c r="D32" s="121"/>
      <c r="E32" s="118"/>
      <c r="F32" s="75"/>
    </row>
    <row r="33" spans="1:6" ht="30" customHeight="1">
      <c r="A33" s="115" t="s">
        <v>124</v>
      </c>
      <c r="B33" s="116" t="s">
        <v>178</v>
      </c>
      <c r="C33" s="115" t="s">
        <v>179</v>
      </c>
      <c r="D33" s="121">
        <f>84.24+161.28</f>
        <v>245.51999999999998</v>
      </c>
      <c r="E33" s="118"/>
      <c r="F33" s="75">
        <f>ROUND(D33*E33,0)</f>
        <v>0</v>
      </c>
    </row>
    <row r="34" spans="1:6" ht="30" customHeight="1">
      <c r="A34" s="115" t="s">
        <v>150</v>
      </c>
      <c r="B34" s="116" t="s">
        <v>180</v>
      </c>
      <c r="C34" s="115" t="s">
        <v>179</v>
      </c>
      <c r="D34" s="121">
        <f>7.02+10.08</f>
        <v>17.1</v>
      </c>
      <c r="E34" s="118"/>
      <c r="F34" s="75">
        <f>ROUND(D34*E34,0)</f>
        <v>0</v>
      </c>
    </row>
    <row r="35" spans="1:6" ht="30" customHeight="1">
      <c r="A35" s="115" t="s">
        <v>172</v>
      </c>
      <c r="B35" s="116" t="s">
        <v>173</v>
      </c>
      <c r="C35" s="115" t="s">
        <v>20</v>
      </c>
      <c r="D35" s="121"/>
      <c r="E35" s="118"/>
      <c r="F35" s="75"/>
    </row>
    <row r="36" spans="1:6" ht="30" customHeight="1">
      <c r="A36" s="115" t="s">
        <v>124</v>
      </c>
      <c r="B36" s="116" t="s">
        <v>181</v>
      </c>
      <c r="C36" s="115" t="s">
        <v>174</v>
      </c>
      <c r="D36" s="120">
        <f>156+168</f>
        <v>324</v>
      </c>
      <c r="E36" s="118"/>
      <c r="F36" s="75">
        <f>ROUND(D36*E36,0)</f>
        <v>0</v>
      </c>
    </row>
    <row r="37" spans="1:6" ht="30" customHeight="1">
      <c r="A37" s="115" t="s">
        <v>150</v>
      </c>
      <c r="B37" s="116" t="s">
        <v>182</v>
      </c>
      <c r="C37" s="115" t="s">
        <v>174</v>
      </c>
      <c r="D37" s="120">
        <f>156+168</f>
        <v>324</v>
      </c>
      <c r="E37" s="118"/>
      <c r="F37" s="75">
        <f>ROUND(D37*E37,0)</f>
        <v>0</v>
      </c>
    </row>
    <row r="38" spans="1:6" ht="30" customHeight="1">
      <c r="A38" s="163" t="s">
        <v>175</v>
      </c>
      <c r="B38" s="163"/>
      <c r="C38" s="163"/>
      <c r="D38" s="164">
        <f>ROUND(SUM(F5:F37),0)</f>
        <v>0</v>
      </c>
      <c r="E38" s="164"/>
      <c r="F38" s="84" t="s">
        <v>18</v>
      </c>
    </row>
  </sheetData>
  <sheetProtection password="8F79" sheet="1"/>
  <protectedRanges>
    <protectedRange sqref="E7 E10 E12 E15:E17 E19:E20 E22 E25 E28 E30 E33:E34 E36:E37" name="区域1"/>
  </protectedRanges>
  <mergeCells count="6">
    <mergeCell ref="A1:F1"/>
    <mergeCell ref="B2:D2"/>
    <mergeCell ref="E2:F2"/>
    <mergeCell ref="A3:F3"/>
    <mergeCell ref="A38:C38"/>
    <mergeCell ref="D38:E3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D76" sqref="D76:E76"/>
    </sheetView>
  </sheetViews>
  <sheetFormatPr defaultColWidth="9.00390625" defaultRowHeight="14.25"/>
  <cols>
    <col min="1" max="1" width="9.125" style="2" customWidth="1"/>
    <col min="2" max="2" width="28.25390625" style="10" customWidth="1"/>
    <col min="3" max="3" width="8.625" style="10" customWidth="1"/>
    <col min="4" max="4" width="11.625" style="7" customWidth="1"/>
    <col min="5" max="6" width="11.625" style="1" customWidth="1"/>
    <col min="7" max="16384" width="9.00390625" style="10" customWidth="1"/>
  </cols>
  <sheetData>
    <row r="1" spans="1:6" ht="33" customHeight="1">
      <c r="A1" s="140" t="s">
        <v>0</v>
      </c>
      <c r="B1" s="140"/>
      <c r="C1" s="140"/>
      <c r="D1" s="141"/>
      <c r="E1" s="140"/>
      <c r="F1" s="140"/>
    </row>
    <row r="2" spans="1:6" s="21" customFormat="1" ht="33" customHeight="1">
      <c r="A2" s="20" t="s">
        <v>1</v>
      </c>
      <c r="B2" s="142" t="str">
        <f>'第100章（非现执法设备）'!B2</f>
        <v>2019年房山区非现场执法轴载监控设备建设工程</v>
      </c>
      <c r="C2" s="142"/>
      <c r="D2" s="143"/>
      <c r="E2" s="144" t="s">
        <v>19</v>
      </c>
      <c r="F2" s="144"/>
    </row>
    <row r="3" spans="1:6" ht="30" customHeight="1">
      <c r="A3" s="145" t="s">
        <v>46</v>
      </c>
      <c r="B3" s="145"/>
      <c r="C3" s="145"/>
      <c r="D3" s="146"/>
      <c r="E3" s="145"/>
      <c r="F3" s="145"/>
    </row>
    <row r="4" spans="1:6" ht="30" customHeight="1">
      <c r="A4" s="3" t="s">
        <v>3</v>
      </c>
      <c r="B4" s="4" t="s">
        <v>4</v>
      </c>
      <c r="C4" s="4" t="s">
        <v>5</v>
      </c>
      <c r="D4" s="6" t="s">
        <v>6</v>
      </c>
      <c r="E4" s="5" t="s">
        <v>7</v>
      </c>
      <c r="F4" s="5" t="s">
        <v>8</v>
      </c>
    </row>
    <row r="5" spans="1:6" s="43" customFormat="1" ht="30" customHeight="1">
      <c r="A5" s="28">
        <v>604</v>
      </c>
      <c r="B5" s="79" t="s">
        <v>183</v>
      </c>
      <c r="C5" s="25"/>
      <c r="D5" s="26"/>
      <c r="E5" s="101"/>
      <c r="F5" s="82"/>
    </row>
    <row r="6" spans="1:6" s="43" customFormat="1" ht="30" customHeight="1">
      <c r="A6" s="80" t="s">
        <v>184</v>
      </c>
      <c r="B6" s="79" t="s">
        <v>185</v>
      </c>
      <c r="C6" s="81" t="s">
        <v>186</v>
      </c>
      <c r="D6" s="29">
        <f>60*2</f>
        <v>120</v>
      </c>
      <c r="E6" s="101"/>
      <c r="F6" s="33">
        <f>ROUND(D6*E6,0)</f>
        <v>0</v>
      </c>
    </row>
    <row r="7" spans="1:6" s="43" customFormat="1" ht="30" customHeight="1">
      <c r="A7" s="28">
        <v>605</v>
      </c>
      <c r="B7" s="79" t="s">
        <v>187</v>
      </c>
      <c r="C7" s="25"/>
      <c r="D7" s="26"/>
      <c r="E7" s="101"/>
      <c r="F7" s="82"/>
    </row>
    <row r="8" spans="1:6" s="43" customFormat="1" ht="30" customHeight="1">
      <c r="A8" s="80" t="s">
        <v>188</v>
      </c>
      <c r="B8" s="79" t="s">
        <v>189</v>
      </c>
      <c r="C8" s="25"/>
      <c r="D8" s="26"/>
      <c r="E8" s="101"/>
      <c r="F8" s="82"/>
    </row>
    <row r="9" spans="1:6" s="43" customFormat="1" ht="30" customHeight="1">
      <c r="A9" s="80" t="s">
        <v>49</v>
      </c>
      <c r="B9" s="79" t="s">
        <v>189</v>
      </c>
      <c r="C9" s="81" t="s">
        <v>190</v>
      </c>
      <c r="D9" s="26">
        <f>(72+27)*2</f>
        <v>198</v>
      </c>
      <c r="E9" s="101"/>
      <c r="F9" s="33">
        <f>ROUND(D9*E9,0)</f>
        <v>0</v>
      </c>
    </row>
    <row r="10" spans="1:6" s="43" customFormat="1" ht="30" customHeight="1">
      <c r="A10" s="80" t="s">
        <v>50</v>
      </c>
      <c r="B10" s="79" t="s">
        <v>191</v>
      </c>
      <c r="C10" s="81" t="s">
        <v>53</v>
      </c>
      <c r="D10" s="29">
        <f>4*2</f>
        <v>8</v>
      </c>
      <c r="E10" s="101"/>
      <c r="F10" s="33">
        <f>ROUND(D10*E10,0)</f>
        <v>0</v>
      </c>
    </row>
    <row r="11" spans="1:6" ht="30" customHeight="1">
      <c r="A11" s="28">
        <v>609</v>
      </c>
      <c r="B11" s="42" t="s">
        <v>66</v>
      </c>
      <c r="C11" s="25"/>
      <c r="D11" s="26"/>
      <c r="E11" s="101"/>
      <c r="F11" s="82"/>
    </row>
    <row r="12" spans="1:6" ht="30" customHeight="1">
      <c r="A12" s="44" t="s">
        <v>61</v>
      </c>
      <c r="B12" s="50" t="s">
        <v>67</v>
      </c>
      <c r="C12" s="25"/>
      <c r="D12" s="29"/>
      <c r="E12" s="101"/>
      <c r="F12" s="82"/>
    </row>
    <row r="13" spans="1:6" ht="30" customHeight="1">
      <c r="A13" s="39" t="s">
        <v>49</v>
      </c>
      <c r="B13" s="40" t="s">
        <v>62</v>
      </c>
      <c r="C13" s="25"/>
      <c r="D13" s="29"/>
      <c r="E13" s="101"/>
      <c r="F13" s="82"/>
    </row>
    <row r="14" spans="1:6" s="43" customFormat="1" ht="30" customHeight="1">
      <c r="A14" s="51" t="s">
        <v>68</v>
      </c>
      <c r="B14" s="91" t="s">
        <v>69</v>
      </c>
      <c r="C14" s="53" t="s">
        <v>53</v>
      </c>
      <c r="D14" s="29">
        <v>1</v>
      </c>
      <c r="E14" s="101"/>
      <c r="F14" s="33">
        <f>ROUND(D14*E14,0)</f>
        <v>0</v>
      </c>
    </row>
    <row r="15" spans="1:6" s="43" customFormat="1" ht="30" customHeight="1">
      <c r="A15" s="51" t="s">
        <v>70</v>
      </c>
      <c r="B15" s="52" t="s">
        <v>71</v>
      </c>
      <c r="C15" s="53" t="s">
        <v>53</v>
      </c>
      <c r="D15" s="29">
        <v>2</v>
      </c>
      <c r="E15" s="101"/>
      <c r="F15" s="33">
        <f aca="true" t="shared" si="0" ref="F15:F23">ROUND(D15*E15,0)</f>
        <v>0</v>
      </c>
    </row>
    <row r="16" spans="1:6" s="83" customFormat="1" ht="30" customHeight="1">
      <c r="A16" s="51" t="s">
        <v>50</v>
      </c>
      <c r="B16" s="91" t="s">
        <v>213</v>
      </c>
      <c r="C16" s="53"/>
      <c r="D16" s="29"/>
      <c r="E16" s="101"/>
      <c r="F16" s="33"/>
    </row>
    <row r="17" spans="1:6" s="43" customFormat="1" ht="30" customHeight="1">
      <c r="A17" s="90" t="s">
        <v>212</v>
      </c>
      <c r="B17" s="91" t="s">
        <v>216</v>
      </c>
      <c r="C17" s="53" t="s">
        <v>53</v>
      </c>
      <c r="D17" s="29">
        <v>2</v>
      </c>
      <c r="E17" s="101"/>
      <c r="F17" s="33">
        <f t="shared" si="0"/>
        <v>0</v>
      </c>
    </row>
    <row r="18" spans="1:6" s="43" customFormat="1" ht="30" customHeight="1">
      <c r="A18" s="51" t="s">
        <v>51</v>
      </c>
      <c r="B18" s="52" t="s">
        <v>72</v>
      </c>
      <c r="C18" s="53" t="s">
        <v>53</v>
      </c>
      <c r="D18" s="29">
        <v>2</v>
      </c>
      <c r="E18" s="101"/>
      <c r="F18" s="33">
        <f t="shared" si="0"/>
        <v>0</v>
      </c>
    </row>
    <row r="19" spans="1:6" s="43" customFormat="1" ht="30" customHeight="1">
      <c r="A19" s="51" t="s">
        <v>52</v>
      </c>
      <c r="B19" s="59" t="s">
        <v>111</v>
      </c>
      <c r="C19" s="53" t="s">
        <v>53</v>
      </c>
      <c r="D19" s="29">
        <v>6</v>
      </c>
      <c r="E19" s="101"/>
      <c r="F19" s="33">
        <f t="shared" si="0"/>
        <v>0</v>
      </c>
    </row>
    <row r="20" spans="1:6" s="43" customFormat="1" ht="30" customHeight="1">
      <c r="A20" s="51" t="s">
        <v>54</v>
      </c>
      <c r="B20" s="85" t="s">
        <v>205</v>
      </c>
      <c r="C20" s="53" t="s">
        <v>53</v>
      </c>
      <c r="D20" s="29">
        <v>3</v>
      </c>
      <c r="E20" s="101"/>
      <c r="F20" s="33">
        <f t="shared" si="0"/>
        <v>0</v>
      </c>
    </row>
    <row r="21" spans="1:6" s="43" customFormat="1" ht="30" customHeight="1">
      <c r="A21" s="51" t="s">
        <v>55</v>
      </c>
      <c r="B21" s="52" t="s">
        <v>73</v>
      </c>
      <c r="C21" s="53" t="s">
        <v>74</v>
      </c>
      <c r="D21" s="29">
        <v>4</v>
      </c>
      <c r="E21" s="101"/>
      <c r="F21" s="33">
        <f t="shared" si="0"/>
        <v>0</v>
      </c>
    </row>
    <row r="22" spans="1:6" s="43" customFormat="1" ht="30" customHeight="1">
      <c r="A22" s="57" t="s">
        <v>56</v>
      </c>
      <c r="B22" s="52" t="s">
        <v>75</v>
      </c>
      <c r="C22" s="53" t="s">
        <v>60</v>
      </c>
      <c r="D22" s="29">
        <v>6</v>
      </c>
      <c r="E22" s="101"/>
      <c r="F22" s="33">
        <f t="shared" si="0"/>
        <v>0</v>
      </c>
    </row>
    <row r="23" spans="1:6" s="43" customFormat="1" ht="30" customHeight="1">
      <c r="A23" s="57" t="s">
        <v>57</v>
      </c>
      <c r="B23" s="59" t="s">
        <v>113</v>
      </c>
      <c r="C23" s="58" t="s">
        <v>53</v>
      </c>
      <c r="D23" s="29">
        <v>1</v>
      </c>
      <c r="E23" s="101"/>
      <c r="F23" s="33">
        <f t="shared" si="0"/>
        <v>0</v>
      </c>
    </row>
    <row r="24" spans="1:6" s="43" customFormat="1" ht="30" customHeight="1">
      <c r="A24" s="57" t="s">
        <v>63</v>
      </c>
      <c r="B24" s="85" t="s">
        <v>201</v>
      </c>
      <c r="C24" s="53"/>
      <c r="D24" s="29"/>
      <c r="E24" s="101"/>
      <c r="F24" s="33"/>
    </row>
    <row r="25" spans="1:6" s="43" customFormat="1" ht="30" customHeight="1">
      <c r="A25" s="57" t="s">
        <v>114</v>
      </c>
      <c r="B25" s="59" t="s">
        <v>76</v>
      </c>
      <c r="C25" s="53" t="s">
        <v>53</v>
      </c>
      <c r="D25" s="29">
        <v>2</v>
      </c>
      <c r="E25" s="101"/>
      <c r="F25" s="33">
        <f aca="true" t="shared" si="1" ref="F25:F30">ROUND(D25*E25,0)</f>
        <v>0</v>
      </c>
    </row>
    <row r="26" spans="1:6" s="43" customFormat="1" ht="30" customHeight="1">
      <c r="A26" s="57" t="s">
        <v>115</v>
      </c>
      <c r="B26" s="52" t="s">
        <v>77</v>
      </c>
      <c r="C26" s="53" t="s">
        <v>53</v>
      </c>
      <c r="D26" s="29">
        <v>2</v>
      </c>
      <c r="E26" s="101"/>
      <c r="F26" s="33">
        <f t="shared" si="1"/>
        <v>0</v>
      </c>
    </row>
    <row r="27" spans="1:6" s="43" customFormat="1" ht="30" customHeight="1">
      <c r="A27" s="57" t="s">
        <v>116</v>
      </c>
      <c r="B27" s="52" t="s">
        <v>78</v>
      </c>
      <c r="C27" s="53" t="s">
        <v>53</v>
      </c>
      <c r="D27" s="29">
        <v>4</v>
      </c>
      <c r="E27" s="101"/>
      <c r="F27" s="33">
        <f t="shared" si="1"/>
        <v>0</v>
      </c>
    </row>
    <row r="28" spans="1:6" ht="30" customHeight="1">
      <c r="A28" s="57" t="s">
        <v>117</v>
      </c>
      <c r="B28" s="52" t="s">
        <v>79</v>
      </c>
      <c r="C28" s="53" t="s">
        <v>53</v>
      </c>
      <c r="D28" s="29">
        <v>2</v>
      </c>
      <c r="E28" s="101"/>
      <c r="F28" s="33">
        <f t="shared" si="1"/>
        <v>0</v>
      </c>
    </row>
    <row r="29" spans="1:6" s="43" customFormat="1" ht="30" customHeight="1">
      <c r="A29" s="57" t="s">
        <v>118</v>
      </c>
      <c r="B29" s="91" t="s">
        <v>217</v>
      </c>
      <c r="C29" s="53" t="s">
        <v>53</v>
      </c>
      <c r="D29" s="29">
        <v>1</v>
      </c>
      <c r="E29" s="101"/>
      <c r="F29" s="33">
        <f t="shared" si="1"/>
        <v>0</v>
      </c>
    </row>
    <row r="30" spans="1:6" s="43" customFormat="1" ht="30" customHeight="1">
      <c r="A30" s="80" t="s">
        <v>83</v>
      </c>
      <c r="B30" s="52" t="s">
        <v>82</v>
      </c>
      <c r="C30" s="53" t="s">
        <v>53</v>
      </c>
      <c r="D30" s="29">
        <v>12</v>
      </c>
      <c r="E30" s="101"/>
      <c r="F30" s="33">
        <f t="shared" si="1"/>
        <v>0</v>
      </c>
    </row>
    <row r="31" spans="1:6" ht="30" customHeight="1">
      <c r="A31" s="80" t="s">
        <v>84</v>
      </c>
      <c r="B31" s="52" t="s">
        <v>80</v>
      </c>
      <c r="C31" s="41"/>
      <c r="D31" s="29"/>
      <c r="E31" s="101"/>
      <c r="F31" s="82"/>
    </row>
    <row r="32" spans="1:6" ht="30" customHeight="1">
      <c r="A32" s="80" t="s">
        <v>202</v>
      </c>
      <c r="B32" s="55" t="s">
        <v>219</v>
      </c>
      <c r="C32" s="53" t="s">
        <v>59</v>
      </c>
      <c r="D32" s="26">
        <v>360</v>
      </c>
      <c r="E32" s="101"/>
      <c r="F32" s="33">
        <f aca="true" t="shared" si="2" ref="F32:F38">ROUND(D32*E32,0)</f>
        <v>0</v>
      </c>
    </row>
    <row r="33" spans="1:6" ht="30" customHeight="1">
      <c r="A33" s="80" t="s">
        <v>203</v>
      </c>
      <c r="B33" s="55" t="s">
        <v>218</v>
      </c>
      <c r="C33" s="53" t="s">
        <v>59</v>
      </c>
      <c r="D33" s="26">
        <v>360</v>
      </c>
      <c r="E33" s="101"/>
      <c r="F33" s="33">
        <f t="shared" si="2"/>
        <v>0</v>
      </c>
    </row>
    <row r="34" spans="1:6" ht="30" customHeight="1">
      <c r="A34" s="80" t="s">
        <v>204</v>
      </c>
      <c r="B34" s="55" t="s">
        <v>207</v>
      </c>
      <c r="C34" s="53" t="s">
        <v>59</v>
      </c>
      <c r="D34" s="26">
        <v>363.6</v>
      </c>
      <c r="E34" s="101"/>
      <c r="F34" s="33">
        <f t="shared" si="2"/>
        <v>0</v>
      </c>
    </row>
    <row r="35" spans="1:6" ht="30" customHeight="1">
      <c r="A35" s="57" t="s">
        <v>86</v>
      </c>
      <c r="B35" s="52" t="s">
        <v>81</v>
      </c>
      <c r="C35" s="53" t="s">
        <v>58</v>
      </c>
      <c r="D35" s="29">
        <v>1</v>
      </c>
      <c r="E35" s="101"/>
      <c r="F35" s="33">
        <f t="shared" si="2"/>
        <v>0</v>
      </c>
    </row>
    <row r="36" spans="1:6" s="43" customFormat="1" ht="30" customHeight="1">
      <c r="A36" s="57" t="s">
        <v>88</v>
      </c>
      <c r="B36" s="55" t="s">
        <v>85</v>
      </c>
      <c r="C36" s="53" t="s">
        <v>58</v>
      </c>
      <c r="D36" s="29">
        <v>1</v>
      </c>
      <c r="E36" s="101"/>
      <c r="F36" s="82">
        <f t="shared" si="2"/>
        <v>0</v>
      </c>
    </row>
    <row r="37" spans="1:6" s="43" customFormat="1" ht="30" customHeight="1">
      <c r="A37" s="57" t="s">
        <v>90</v>
      </c>
      <c r="B37" s="55" t="s">
        <v>87</v>
      </c>
      <c r="C37" s="53" t="s">
        <v>58</v>
      </c>
      <c r="D37" s="29">
        <v>1</v>
      </c>
      <c r="E37" s="101"/>
      <c r="F37" s="82">
        <f t="shared" si="2"/>
        <v>0</v>
      </c>
    </row>
    <row r="38" spans="1:6" s="43" customFormat="1" ht="30" customHeight="1">
      <c r="A38" s="87" t="s">
        <v>91</v>
      </c>
      <c r="B38" s="59" t="s">
        <v>112</v>
      </c>
      <c r="C38" s="53" t="s">
        <v>58</v>
      </c>
      <c r="D38" s="29">
        <v>1</v>
      </c>
      <c r="E38" s="101"/>
      <c r="F38" s="82">
        <f t="shared" si="2"/>
        <v>0</v>
      </c>
    </row>
    <row r="39" spans="1:6" s="43" customFormat="1" ht="30" customHeight="1">
      <c r="A39" s="54" t="s">
        <v>102</v>
      </c>
      <c r="B39" s="42" t="s">
        <v>101</v>
      </c>
      <c r="C39" s="31"/>
      <c r="D39" s="32"/>
      <c r="E39" s="102"/>
      <c r="F39" s="33"/>
    </row>
    <row r="40" spans="1:6" s="43" customFormat="1" ht="30" customHeight="1">
      <c r="A40" s="39" t="s">
        <v>49</v>
      </c>
      <c r="B40" s="40" t="s">
        <v>62</v>
      </c>
      <c r="C40" s="25"/>
      <c r="D40" s="29"/>
      <c r="E40" s="101"/>
      <c r="F40" s="82"/>
    </row>
    <row r="41" spans="1:6" s="43" customFormat="1" ht="30" customHeight="1">
      <c r="A41" s="51" t="s">
        <v>68</v>
      </c>
      <c r="B41" s="52" t="s">
        <v>69</v>
      </c>
      <c r="C41" s="53" t="s">
        <v>53</v>
      </c>
      <c r="D41" s="29">
        <v>1</v>
      </c>
      <c r="E41" s="101"/>
      <c r="F41" s="33">
        <f>ROUND(D41*E41,0)</f>
        <v>0</v>
      </c>
    </row>
    <row r="42" spans="1:6" s="43" customFormat="1" ht="30" customHeight="1">
      <c r="A42" s="51" t="s">
        <v>70</v>
      </c>
      <c r="B42" s="52" t="s">
        <v>71</v>
      </c>
      <c r="C42" s="53" t="s">
        <v>53</v>
      </c>
      <c r="D42" s="29">
        <v>2</v>
      </c>
      <c r="E42" s="101"/>
      <c r="F42" s="33">
        <f aca="true" t="shared" si="3" ref="F42:F50">ROUND(D42*E42,0)</f>
        <v>0</v>
      </c>
    </row>
    <row r="43" spans="1:6" s="83" customFormat="1" ht="30" customHeight="1">
      <c r="A43" s="51" t="s">
        <v>50</v>
      </c>
      <c r="B43" s="91" t="s">
        <v>213</v>
      </c>
      <c r="C43" s="53"/>
      <c r="D43" s="29"/>
      <c r="E43" s="101"/>
      <c r="F43" s="33"/>
    </row>
    <row r="44" spans="1:6" s="43" customFormat="1" ht="30" customHeight="1">
      <c r="A44" s="90" t="s">
        <v>214</v>
      </c>
      <c r="B44" s="104" t="s">
        <v>215</v>
      </c>
      <c r="C44" s="53" t="s">
        <v>53</v>
      </c>
      <c r="D44" s="29">
        <v>2</v>
      </c>
      <c r="E44" s="101"/>
      <c r="F44" s="33">
        <f t="shared" si="3"/>
        <v>0</v>
      </c>
    </row>
    <row r="45" spans="1:6" s="43" customFormat="1" ht="30" customHeight="1">
      <c r="A45" s="51" t="s">
        <v>51</v>
      </c>
      <c r="B45" s="52" t="s">
        <v>72</v>
      </c>
      <c r="C45" s="53" t="s">
        <v>53</v>
      </c>
      <c r="D45" s="29">
        <v>2</v>
      </c>
      <c r="E45" s="101"/>
      <c r="F45" s="33">
        <f t="shared" si="3"/>
        <v>0</v>
      </c>
    </row>
    <row r="46" spans="1:6" s="43" customFormat="1" ht="30" customHeight="1">
      <c r="A46" s="51" t="s">
        <v>52</v>
      </c>
      <c r="B46" s="59" t="s">
        <v>111</v>
      </c>
      <c r="C46" s="53" t="s">
        <v>53</v>
      </c>
      <c r="D46" s="29">
        <v>6</v>
      </c>
      <c r="E46" s="101"/>
      <c r="F46" s="33">
        <f t="shared" si="3"/>
        <v>0</v>
      </c>
    </row>
    <row r="47" spans="1:6" s="43" customFormat="1" ht="30" customHeight="1">
      <c r="A47" s="51" t="s">
        <v>54</v>
      </c>
      <c r="B47" s="85" t="s">
        <v>205</v>
      </c>
      <c r="C47" s="53" t="s">
        <v>53</v>
      </c>
      <c r="D47" s="29">
        <v>3</v>
      </c>
      <c r="E47" s="101"/>
      <c r="F47" s="33">
        <f t="shared" si="3"/>
        <v>0</v>
      </c>
    </row>
    <row r="48" spans="1:6" s="43" customFormat="1" ht="30" customHeight="1">
      <c r="A48" s="51" t="s">
        <v>55</v>
      </c>
      <c r="B48" s="52" t="s">
        <v>73</v>
      </c>
      <c r="C48" s="53" t="s">
        <v>74</v>
      </c>
      <c r="D48" s="29">
        <v>4</v>
      </c>
      <c r="E48" s="101"/>
      <c r="F48" s="33">
        <f t="shared" si="3"/>
        <v>0</v>
      </c>
    </row>
    <row r="49" spans="1:6" s="43" customFormat="1" ht="30" customHeight="1">
      <c r="A49" s="57" t="s">
        <v>56</v>
      </c>
      <c r="B49" s="52" t="s">
        <v>75</v>
      </c>
      <c r="C49" s="53" t="s">
        <v>60</v>
      </c>
      <c r="D49" s="29">
        <v>6</v>
      </c>
      <c r="E49" s="101"/>
      <c r="F49" s="33">
        <f t="shared" si="3"/>
        <v>0</v>
      </c>
    </row>
    <row r="50" spans="1:6" s="43" customFormat="1" ht="30" customHeight="1">
      <c r="A50" s="57" t="s">
        <v>57</v>
      </c>
      <c r="B50" s="59" t="s">
        <v>113</v>
      </c>
      <c r="C50" s="58" t="s">
        <v>53</v>
      </c>
      <c r="D50" s="29">
        <v>1</v>
      </c>
      <c r="E50" s="101"/>
      <c r="F50" s="33">
        <f t="shared" si="3"/>
        <v>0</v>
      </c>
    </row>
    <row r="51" spans="1:6" s="43" customFormat="1" ht="30" customHeight="1">
      <c r="A51" s="57" t="s">
        <v>63</v>
      </c>
      <c r="B51" s="85" t="s">
        <v>201</v>
      </c>
      <c r="C51" s="53"/>
      <c r="D51" s="29"/>
      <c r="E51" s="101"/>
      <c r="F51" s="33"/>
    </row>
    <row r="52" spans="1:6" s="43" customFormat="1" ht="30" customHeight="1">
      <c r="A52" s="57" t="s">
        <v>114</v>
      </c>
      <c r="B52" s="59" t="s">
        <v>76</v>
      </c>
      <c r="C52" s="53" t="s">
        <v>53</v>
      </c>
      <c r="D52" s="29">
        <v>2</v>
      </c>
      <c r="E52" s="101"/>
      <c r="F52" s="33">
        <f aca="true" t="shared" si="4" ref="F52:F57">ROUND(D52*E52,0)</f>
        <v>0</v>
      </c>
    </row>
    <row r="53" spans="1:6" s="43" customFormat="1" ht="30" customHeight="1">
      <c r="A53" s="57" t="s">
        <v>115</v>
      </c>
      <c r="B53" s="52" t="s">
        <v>77</v>
      </c>
      <c r="C53" s="53" t="s">
        <v>53</v>
      </c>
      <c r="D53" s="29">
        <v>2</v>
      </c>
      <c r="E53" s="101"/>
      <c r="F53" s="33">
        <f t="shared" si="4"/>
        <v>0</v>
      </c>
    </row>
    <row r="54" spans="1:6" s="43" customFormat="1" ht="30" customHeight="1">
      <c r="A54" s="57" t="s">
        <v>116</v>
      </c>
      <c r="B54" s="52" t="s">
        <v>78</v>
      </c>
      <c r="C54" s="53" t="s">
        <v>53</v>
      </c>
      <c r="D54" s="29">
        <v>4</v>
      </c>
      <c r="E54" s="101"/>
      <c r="F54" s="33">
        <f t="shared" si="4"/>
        <v>0</v>
      </c>
    </row>
    <row r="55" spans="1:6" s="43" customFormat="1" ht="30" customHeight="1">
      <c r="A55" s="57" t="s">
        <v>117</v>
      </c>
      <c r="B55" s="52" t="s">
        <v>79</v>
      </c>
      <c r="C55" s="53" t="s">
        <v>53</v>
      </c>
      <c r="D55" s="29">
        <v>2</v>
      </c>
      <c r="E55" s="101"/>
      <c r="F55" s="33">
        <f t="shared" si="4"/>
        <v>0</v>
      </c>
    </row>
    <row r="56" spans="1:6" s="43" customFormat="1" ht="30" customHeight="1">
      <c r="A56" s="57" t="s">
        <v>118</v>
      </c>
      <c r="B56" s="91" t="s">
        <v>217</v>
      </c>
      <c r="C56" s="53" t="s">
        <v>53</v>
      </c>
      <c r="D56" s="29">
        <v>1</v>
      </c>
      <c r="E56" s="101"/>
      <c r="F56" s="33">
        <f t="shared" si="4"/>
        <v>0</v>
      </c>
    </row>
    <row r="57" spans="1:6" s="43" customFormat="1" ht="30" customHeight="1">
      <c r="A57" s="80" t="s">
        <v>83</v>
      </c>
      <c r="B57" s="52" t="s">
        <v>82</v>
      </c>
      <c r="C57" s="53" t="s">
        <v>53</v>
      </c>
      <c r="D57" s="32">
        <v>16</v>
      </c>
      <c r="E57" s="101"/>
      <c r="F57" s="33">
        <f t="shared" si="4"/>
        <v>0</v>
      </c>
    </row>
    <row r="58" spans="1:6" s="43" customFormat="1" ht="30" customHeight="1">
      <c r="A58" s="80" t="s">
        <v>84</v>
      </c>
      <c r="B58" s="52" t="s">
        <v>80</v>
      </c>
      <c r="C58" s="41"/>
      <c r="D58" s="29"/>
      <c r="E58" s="101"/>
      <c r="F58" s="82"/>
    </row>
    <row r="59" spans="1:6" s="43" customFormat="1" ht="30" customHeight="1">
      <c r="A59" s="80" t="s">
        <v>202</v>
      </c>
      <c r="B59" s="55" t="s">
        <v>219</v>
      </c>
      <c r="C59" s="53" t="s">
        <v>59</v>
      </c>
      <c r="D59" s="26">
        <v>360</v>
      </c>
      <c r="E59" s="101"/>
      <c r="F59" s="33">
        <f aca="true" t="shared" si="5" ref="F59:F65">ROUND(D59*E59,0)</f>
        <v>0</v>
      </c>
    </row>
    <row r="60" spans="1:6" s="43" customFormat="1" ht="30" customHeight="1">
      <c r="A60" s="80" t="s">
        <v>203</v>
      </c>
      <c r="B60" s="55" t="s">
        <v>218</v>
      </c>
      <c r="C60" s="53" t="s">
        <v>59</v>
      </c>
      <c r="D60" s="26">
        <v>360</v>
      </c>
      <c r="E60" s="101"/>
      <c r="F60" s="33">
        <f t="shared" si="5"/>
        <v>0</v>
      </c>
    </row>
    <row r="61" spans="1:6" s="43" customFormat="1" ht="30" customHeight="1">
      <c r="A61" s="80" t="s">
        <v>204</v>
      </c>
      <c r="B61" s="55" t="s">
        <v>207</v>
      </c>
      <c r="C61" s="53" t="s">
        <v>59</v>
      </c>
      <c r="D61" s="103">
        <v>282.8</v>
      </c>
      <c r="E61" s="101"/>
      <c r="F61" s="33">
        <f t="shared" si="5"/>
        <v>0</v>
      </c>
    </row>
    <row r="62" spans="1:6" s="43" customFormat="1" ht="30" customHeight="1">
      <c r="A62" s="57" t="s">
        <v>86</v>
      </c>
      <c r="B62" s="52" t="s">
        <v>81</v>
      </c>
      <c r="C62" s="53" t="s">
        <v>58</v>
      </c>
      <c r="D62" s="29">
        <v>1</v>
      </c>
      <c r="E62" s="101"/>
      <c r="F62" s="33">
        <f t="shared" si="5"/>
        <v>0</v>
      </c>
    </row>
    <row r="63" spans="1:6" s="43" customFormat="1" ht="30" customHeight="1">
      <c r="A63" s="57" t="s">
        <v>88</v>
      </c>
      <c r="B63" s="52" t="s">
        <v>85</v>
      </c>
      <c r="C63" s="53" t="s">
        <v>58</v>
      </c>
      <c r="D63" s="29">
        <v>1</v>
      </c>
      <c r="E63" s="101"/>
      <c r="F63" s="82">
        <f t="shared" si="5"/>
        <v>0</v>
      </c>
    </row>
    <row r="64" spans="1:6" s="43" customFormat="1" ht="30" customHeight="1">
      <c r="A64" s="57" t="s">
        <v>90</v>
      </c>
      <c r="B64" s="52" t="s">
        <v>87</v>
      </c>
      <c r="C64" s="53" t="s">
        <v>58</v>
      </c>
      <c r="D64" s="29">
        <v>1</v>
      </c>
      <c r="E64" s="101"/>
      <c r="F64" s="82">
        <f t="shared" si="5"/>
        <v>0</v>
      </c>
    </row>
    <row r="65" spans="1:6" s="43" customFormat="1" ht="30" customHeight="1">
      <c r="A65" s="87" t="s">
        <v>91</v>
      </c>
      <c r="B65" s="59" t="s">
        <v>112</v>
      </c>
      <c r="C65" s="53" t="s">
        <v>58</v>
      </c>
      <c r="D65" s="29">
        <v>1</v>
      </c>
      <c r="E65" s="101"/>
      <c r="F65" s="82">
        <f t="shared" si="5"/>
        <v>0</v>
      </c>
    </row>
    <row r="66" spans="1:6" s="43" customFormat="1" ht="41.25" customHeight="1">
      <c r="A66" s="54" t="s">
        <v>93</v>
      </c>
      <c r="B66" s="92" t="s">
        <v>220</v>
      </c>
      <c r="C66" s="31" t="s">
        <v>74</v>
      </c>
      <c r="D66" s="32">
        <v>1</v>
      </c>
      <c r="E66" s="102"/>
      <c r="F66" s="82">
        <f>ROUND(D66*E66,0)</f>
        <v>0</v>
      </c>
    </row>
    <row r="67" spans="1:6" s="43" customFormat="1" ht="30" customHeight="1">
      <c r="A67" s="54" t="s">
        <v>94</v>
      </c>
      <c r="B67" s="92" t="s">
        <v>221</v>
      </c>
      <c r="C67" s="31" t="s">
        <v>74</v>
      </c>
      <c r="D67" s="32">
        <v>1</v>
      </c>
      <c r="E67" s="102"/>
      <c r="F67" s="82">
        <f>ROUND(D67*E67,0)</f>
        <v>0</v>
      </c>
    </row>
    <row r="68" spans="1:6" s="43" customFormat="1" ht="30" customHeight="1">
      <c r="A68" s="54" t="s">
        <v>95</v>
      </c>
      <c r="B68" s="88" t="s">
        <v>97</v>
      </c>
      <c r="C68" s="31"/>
      <c r="D68" s="32"/>
      <c r="E68" s="102"/>
      <c r="F68" s="82"/>
    </row>
    <row r="69" spans="1:6" s="43" customFormat="1" ht="30" customHeight="1">
      <c r="A69" s="39" t="s">
        <v>49</v>
      </c>
      <c r="B69" s="42" t="s">
        <v>98</v>
      </c>
      <c r="C69" s="31" t="s">
        <v>53</v>
      </c>
      <c r="D69" s="32">
        <v>1</v>
      </c>
      <c r="E69" s="102"/>
      <c r="F69" s="82">
        <f>ROUND(D69*E69,0)</f>
        <v>0</v>
      </c>
    </row>
    <row r="70" spans="1:6" s="43" customFormat="1" ht="30" customHeight="1">
      <c r="A70" s="54" t="s">
        <v>96</v>
      </c>
      <c r="B70" s="88" t="s">
        <v>99</v>
      </c>
      <c r="C70" s="31"/>
      <c r="D70" s="32"/>
      <c r="E70" s="102"/>
      <c r="F70" s="82"/>
    </row>
    <row r="71" spans="1:6" s="43" customFormat="1" ht="30" customHeight="1">
      <c r="A71" s="39" t="s">
        <v>49</v>
      </c>
      <c r="B71" s="42" t="s">
        <v>98</v>
      </c>
      <c r="C71" s="31" t="s">
        <v>53</v>
      </c>
      <c r="D71" s="32">
        <v>1</v>
      </c>
      <c r="E71" s="102"/>
      <c r="F71" s="82">
        <f>ROUND(D71*E71,0)</f>
        <v>0</v>
      </c>
    </row>
    <row r="72" spans="1:6" s="43" customFormat="1" ht="30" customHeight="1">
      <c r="A72" s="86" t="s">
        <v>206</v>
      </c>
      <c r="B72" s="88" t="s">
        <v>100</v>
      </c>
      <c r="C72" s="31"/>
      <c r="D72" s="32"/>
      <c r="E72" s="102"/>
      <c r="F72" s="82"/>
    </row>
    <row r="73" spans="1:6" s="43" customFormat="1" ht="30" customHeight="1">
      <c r="A73" s="39" t="s">
        <v>49</v>
      </c>
      <c r="B73" s="42" t="s">
        <v>98</v>
      </c>
      <c r="C73" s="31" t="s">
        <v>53</v>
      </c>
      <c r="D73" s="32">
        <v>1</v>
      </c>
      <c r="E73" s="102"/>
      <c r="F73" s="82">
        <f>ROUND(D73*E73,0)</f>
        <v>0</v>
      </c>
    </row>
    <row r="74" spans="1:6" s="83" customFormat="1" ht="30" customHeight="1">
      <c r="A74" s="87" t="s">
        <v>208</v>
      </c>
      <c r="B74" s="88" t="s">
        <v>92</v>
      </c>
      <c r="C74" s="89" t="s">
        <v>58</v>
      </c>
      <c r="D74" s="32">
        <v>1</v>
      </c>
      <c r="E74" s="102"/>
      <c r="F74" s="82">
        <f>ROUND(D74*E74,0)</f>
        <v>0</v>
      </c>
    </row>
    <row r="75" spans="1:6" s="83" customFormat="1" ht="30" customHeight="1">
      <c r="A75" s="87" t="s">
        <v>209</v>
      </c>
      <c r="B75" s="55" t="s">
        <v>89</v>
      </c>
      <c r="C75" s="53" t="s">
        <v>58</v>
      </c>
      <c r="D75" s="29">
        <v>1</v>
      </c>
      <c r="E75" s="102"/>
      <c r="F75" s="82">
        <f>ROUND(D75*E75,0)</f>
        <v>0</v>
      </c>
    </row>
    <row r="76" spans="1:6" ht="30" customHeight="1">
      <c r="A76" s="147" t="s">
        <v>48</v>
      </c>
      <c r="B76" s="147"/>
      <c r="C76" s="147"/>
      <c r="D76" s="139">
        <f>ROUND(SUM(F5:F75),0)</f>
        <v>0</v>
      </c>
      <c r="E76" s="139"/>
      <c r="F76" s="30" t="s">
        <v>18</v>
      </c>
    </row>
  </sheetData>
  <sheetProtection password="8F79" sheet="1"/>
  <protectedRanges>
    <protectedRange sqref="E6 E9:E10 E14:E15 E17:E23 E25:E30 E32:E34 E35:E38 E41:E42 E44:E50 E52:E57 E59:E61 E62:E65 E66:E67 E69 E71 E73:E75" name="区域1"/>
  </protectedRanges>
  <mergeCells count="6">
    <mergeCell ref="A1:F1"/>
    <mergeCell ref="B2:D2"/>
    <mergeCell ref="E2:F2"/>
    <mergeCell ref="A3:F3"/>
    <mergeCell ref="A76:C76"/>
    <mergeCell ref="D76:E76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00390625" style="93" customWidth="1"/>
    <col min="2" max="2" width="30.125" style="93" customWidth="1"/>
    <col min="3" max="3" width="7.75390625" style="93" customWidth="1"/>
    <col min="4" max="4" width="7.625" style="93" customWidth="1"/>
    <col min="5" max="5" width="13.125" style="93" customWidth="1"/>
    <col min="6" max="6" width="11.625" style="93" customWidth="1"/>
    <col min="7" max="16384" width="9.00390625" style="93" customWidth="1"/>
  </cols>
  <sheetData>
    <row r="1" spans="1:6" ht="43.5" customHeight="1">
      <c r="A1" s="148" t="s">
        <v>232</v>
      </c>
      <c r="B1" s="148"/>
      <c r="C1" s="148"/>
      <c r="D1" s="148"/>
      <c r="E1" s="148"/>
      <c r="F1" s="148"/>
    </row>
    <row r="2" spans="1:6" s="21" customFormat="1" ht="33" customHeight="1">
      <c r="A2" s="20" t="s">
        <v>238</v>
      </c>
      <c r="B2" s="149" t="str">
        <f>'第100章（非现执法设备）'!B2</f>
        <v>2019年房山区非现场执法轴载监控设备建设工程</v>
      </c>
      <c r="C2" s="149"/>
      <c r="D2" s="149"/>
      <c r="E2" s="153" t="s">
        <v>229</v>
      </c>
      <c r="F2" s="153"/>
    </row>
    <row r="3" spans="1:6" s="94" customFormat="1" ht="45" customHeight="1">
      <c r="A3" s="95" t="s">
        <v>231</v>
      </c>
      <c r="B3" s="95" t="s">
        <v>233</v>
      </c>
      <c r="C3" s="95" t="s">
        <v>223</v>
      </c>
      <c r="D3" s="95" t="s">
        <v>224</v>
      </c>
      <c r="E3" s="95" t="s">
        <v>230</v>
      </c>
      <c r="F3" s="95" t="s">
        <v>225</v>
      </c>
    </row>
    <row r="4" spans="1:6" ht="45" customHeight="1">
      <c r="A4" s="96">
        <v>1</v>
      </c>
      <c r="B4" s="97" t="s">
        <v>235</v>
      </c>
      <c r="C4" s="96" t="s">
        <v>227</v>
      </c>
      <c r="D4" s="96">
        <v>2</v>
      </c>
      <c r="E4" s="171"/>
      <c r="F4" s="98"/>
    </row>
    <row r="5" spans="1:6" ht="45" customHeight="1">
      <c r="A5" s="96">
        <v>2</v>
      </c>
      <c r="B5" s="172" t="s">
        <v>240</v>
      </c>
      <c r="C5" s="96" t="s">
        <v>227</v>
      </c>
      <c r="D5" s="96">
        <v>4</v>
      </c>
      <c r="E5" s="171"/>
      <c r="F5" s="98"/>
    </row>
    <row r="6" spans="1:6" ht="45" customHeight="1">
      <c r="A6" s="96">
        <v>3</v>
      </c>
      <c r="B6" s="97" t="s">
        <v>236</v>
      </c>
      <c r="C6" s="96" t="s">
        <v>227</v>
      </c>
      <c r="D6" s="96">
        <v>2</v>
      </c>
      <c r="E6" s="171"/>
      <c r="F6" s="98"/>
    </row>
    <row r="7" spans="1:6" ht="45" customHeight="1">
      <c r="A7" s="150" t="s">
        <v>237</v>
      </c>
      <c r="B7" s="151"/>
      <c r="C7" s="151"/>
      <c r="D7" s="151"/>
      <c r="E7" s="151"/>
      <c r="F7" s="152"/>
    </row>
  </sheetData>
  <sheetProtection password="8F79" sheet="1"/>
  <protectedRanges>
    <protectedRange sqref="E4:E6" name="区域1"/>
  </protectedRanges>
  <mergeCells count="4">
    <mergeCell ref="A1:F1"/>
    <mergeCell ref="B2:D2"/>
    <mergeCell ref="E2:F2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2" width="8.625" style="22" customWidth="1"/>
    <col min="3" max="3" width="34.50390625" style="22" customWidth="1"/>
    <col min="4" max="6" width="11.625" style="22" customWidth="1"/>
    <col min="7" max="16384" width="9.00390625" style="22" customWidth="1"/>
  </cols>
  <sheetData>
    <row r="1" spans="1:6" ht="42.75" customHeight="1">
      <c r="A1" s="168" t="s">
        <v>21</v>
      </c>
      <c r="B1" s="168"/>
      <c r="C1" s="168"/>
      <c r="D1" s="168"/>
      <c r="E1" s="168"/>
      <c r="F1" s="168"/>
    </row>
    <row r="2" spans="1:6" s="24" customFormat="1" ht="34.5" customHeight="1">
      <c r="A2" s="165" t="s">
        <v>106</v>
      </c>
      <c r="B2" s="165"/>
      <c r="C2" s="165"/>
      <c r="D2" s="165"/>
      <c r="E2" s="170" t="s">
        <v>40</v>
      </c>
      <c r="F2" s="170"/>
    </row>
    <row r="3" spans="1:6" s="23" customFormat="1" ht="37.5" customHeight="1">
      <c r="A3" s="126" t="s">
        <v>22</v>
      </c>
      <c r="B3" s="126" t="s">
        <v>23</v>
      </c>
      <c r="C3" s="126" t="s">
        <v>24</v>
      </c>
      <c r="D3" s="127" t="s">
        <v>105</v>
      </c>
      <c r="E3" s="127" t="s">
        <v>104</v>
      </c>
      <c r="F3" s="128" t="s">
        <v>103</v>
      </c>
    </row>
    <row r="4" spans="1:6" s="23" customFormat="1" ht="37.5" customHeight="1">
      <c r="A4" s="129">
        <v>1</v>
      </c>
      <c r="B4" s="129">
        <v>100</v>
      </c>
      <c r="C4" s="129" t="s">
        <v>25</v>
      </c>
      <c r="D4" s="130">
        <f>'第100章（信息采集与发布设备）'!D13</f>
        <v>17979</v>
      </c>
      <c r="E4" s="130">
        <f>'第100章（非现执法设备）'!D13</f>
        <v>87886</v>
      </c>
      <c r="F4" s="130">
        <f>D4+E4</f>
        <v>105865</v>
      </c>
    </row>
    <row r="5" spans="1:6" s="23" customFormat="1" ht="37.5" customHeight="1">
      <c r="A5" s="129">
        <v>2</v>
      </c>
      <c r="B5" s="129">
        <v>200</v>
      </c>
      <c r="C5" s="129" t="s">
        <v>26</v>
      </c>
      <c r="D5" s="130"/>
      <c r="E5" s="130">
        <f>'第200章（非现执法设备）'!D12</f>
        <v>0</v>
      </c>
      <c r="F5" s="130">
        <f>D5+E5</f>
        <v>0</v>
      </c>
    </row>
    <row r="6" spans="1:6" s="23" customFormat="1" ht="37.5" customHeight="1">
      <c r="A6" s="129">
        <v>3</v>
      </c>
      <c r="B6" s="129">
        <v>300</v>
      </c>
      <c r="C6" s="129" t="s">
        <v>27</v>
      </c>
      <c r="D6" s="130"/>
      <c r="E6" s="130">
        <f>'第300章（非现执法设备）'!D38</f>
        <v>0</v>
      </c>
      <c r="F6" s="130">
        <f>D6+E6</f>
        <v>0</v>
      </c>
    </row>
    <row r="7" spans="1:6" s="23" customFormat="1" ht="37.5" customHeight="1">
      <c r="A7" s="129">
        <v>4</v>
      </c>
      <c r="B7" s="129">
        <v>400</v>
      </c>
      <c r="C7" s="129" t="s">
        <v>28</v>
      </c>
      <c r="D7" s="130"/>
      <c r="E7" s="130"/>
      <c r="F7" s="130"/>
    </row>
    <row r="8" spans="1:6" s="23" customFormat="1" ht="37.5" customHeight="1">
      <c r="A8" s="129">
        <v>5</v>
      </c>
      <c r="B8" s="129">
        <v>500</v>
      </c>
      <c r="C8" s="129" t="s">
        <v>29</v>
      </c>
      <c r="D8" s="130"/>
      <c r="E8" s="130"/>
      <c r="F8" s="130"/>
    </row>
    <row r="9" spans="1:6" s="23" customFormat="1" ht="37.5" customHeight="1">
      <c r="A9" s="129">
        <v>6</v>
      </c>
      <c r="B9" s="129">
        <v>600</v>
      </c>
      <c r="C9" s="129" t="s">
        <v>41</v>
      </c>
      <c r="D9" s="130">
        <f>'第600章（信息采集与发布设备）'!D10</f>
        <v>795000</v>
      </c>
      <c r="E9" s="130">
        <f>'第600章（非现执法设备）'!D76</f>
        <v>0</v>
      </c>
      <c r="F9" s="130">
        <f>D9+E9</f>
        <v>795000</v>
      </c>
    </row>
    <row r="10" spans="1:6" s="23" customFormat="1" ht="37.5" customHeight="1">
      <c r="A10" s="129">
        <v>7</v>
      </c>
      <c r="B10" s="129">
        <v>700</v>
      </c>
      <c r="C10" s="129" t="s">
        <v>30</v>
      </c>
      <c r="D10" s="130"/>
      <c r="E10" s="130"/>
      <c r="F10" s="130"/>
    </row>
    <row r="11" spans="1:6" s="23" customFormat="1" ht="37.5" customHeight="1">
      <c r="A11" s="129">
        <v>8</v>
      </c>
      <c r="B11" s="169" t="s">
        <v>42</v>
      </c>
      <c r="C11" s="169"/>
      <c r="D11" s="131">
        <f>SUM(D4:D10)</f>
        <v>812979</v>
      </c>
      <c r="E11" s="131">
        <f>SUM(E4:E10)</f>
        <v>87886</v>
      </c>
      <c r="F11" s="130">
        <f aca="true" t="shared" si="0" ref="F11:F16">D11+E11</f>
        <v>900865</v>
      </c>
    </row>
    <row r="12" spans="1:6" s="23" customFormat="1" ht="37.5" customHeight="1">
      <c r="A12" s="129">
        <v>9</v>
      </c>
      <c r="B12" s="169" t="s">
        <v>43</v>
      </c>
      <c r="C12" s="169"/>
      <c r="D12" s="130">
        <v>795000</v>
      </c>
      <c r="E12" s="130"/>
      <c r="F12" s="130">
        <f t="shared" si="0"/>
        <v>795000</v>
      </c>
    </row>
    <row r="13" spans="1:6" s="23" customFormat="1" ht="37.5" customHeight="1">
      <c r="A13" s="129">
        <v>10</v>
      </c>
      <c r="B13" s="169" t="s">
        <v>44</v>
      </c>
      <c r="C13" s="169"/>
      <c r="D13" s="131">
        <f>ROUND(1198616*1.5%,0)</f>
        <v>17979</v>
      </c>
      <c r="E13" s="131">
        <f>ROUND(5859056*1.5%,0)</f>
        <v>87886</v>
      </c>
      <c r="F13" s="130">
        <f t="shared" si="0"/>
        <v>105865</v>
      </c>
    </row>
    <row r="14" spans="1:6" s="23" customFormat="1" ht="37.5" customHeight="1">
      <c r="A14" s="129">
        <v>11</v>
      </c>
      <c r="B14" s="166" t="s">
        <v>45</v>
      </c>
      <c r="C14" s="167"/>
      <c r="D14" s="131">
        <f>ROUND(D11-D12-D13,0)</f>
        <v>0</v>
      </c>
      <c r="E14" s="131">
        <f>ROUND(E11-E12-E13,0)</f>
        <v>0</v>
      </c>
      <c r="F14" s="130">
        <f t="shared" si="0"/>
        <v>0</v>
      </c>
    </row>
    <row r="15" spans="1:6" s="23" customFormat="1" ht="37.5" customHeight="1">
      <c r="A15" s="129">
        <v>12</v>
      </c>
      <c r="B15" s="166" t="s">
        <v>239</v>
      </c>
      <c r="C15" s="167"/>
      <c r="D15" s="131">
        <f>ROUND((D14*3%),)</f>
        <v>0</v>
      </c>
      <c r="E15" s="131">
        <f>ROUND((E14*3%),)</f>
        <v>0</v>
      </c>
      <c r="F15" s="130">
        <f t="shared" si="0"/>
        <v>0</v>
      </c>
    </row>
    <row r="16" spans="1:6" s="23" customFormat="1" ht="37.5" customHeight="1">
      <c r="A16" s="129">
        <v>13</v>
      </c>
      <c r="B16" s="166" t="s">
        <v>31</v>
      </c>
      <c r="C16" s="167"/>
      <c r="D16" s="131">
        <f>D11+D15</f>
        <v>812979</v>
      </c>
      <c r="E16" s="131">
        <f>E11+E15</f>
        <v>87886</v>
      </c>
      <c r="F16" s="130">
        <f t="shared" si="0"/>
        <v>900865</v>
      </c>
    </row>
    <row r="17" ht="21.75" customHeight="1">
      <c r="F17" s="38"/>
    </row>
    <row r="18" s="60" customFormat="1" ht="21.75" customHeight="1"/>
    <row r="19" s="60" customFormat="1" ht="21.75" customHeight="1"/>
    <row r="20" ht="21.75" customHeight="1"/>
  </sheetData>
  <sheetProtection password="8F79" sheet="1"/>
  <mergeCells count="9">
    <mergeCell ref="A2:D2"/>
    <mergeCell ref="B14:C14"/>
    <mergeCell ref="B15:C15"/>
    <mergeCell ref="B16:C16"/>
    <mergeCell ref="A1:F1"/>
    <mergeCell ref="B11:C11"/>
    <mergeCell ref="B12:C12"/>
    <mergeCell ref="B13:C13"/>
    <mergeCell ref="E2:F2"/>
  </mergeCells>
  <printOptions horizontalCentered="1"/>
  <pageMargins left="0.11811023622047245" right="0.11811023622047245" top="0.7480314960629921" bottom="0.7480314960629921" header="0.31496062992125984" footer="1.29921259842519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2019-07-01T05:55:34Z</cp:lastPrinted>
  <dcterms:created xsi:type="dcterms:W3CDTF">2008-04-07T07:00:19Z</dcterms:created>
  <dcterms:modified xsi:type="dcterms:W3CDTF">2019-07-01T06:31:59Z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